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2570"/>
  </bookViews>
  <sheets>
    <sheet name="총 계" sheetId="1" r:id="rId1"/>
    <sheet name="부두별-세부구분" sheetId="8" r:id="rId2"/>
    <sheet name="부두별-운영주체구분" sheetId="7" r:id="rId3"/>
    <sheet name="품목별" sheetId="2" r:id="rId4"/>
    <sheet name="품목별-증감현황" sheetId="3" r:id="rId5"/>
    <sheet name="Sheet1" sheetId="4" state="hidden" r:id="rId6"/>
    <sheet name="2017" sheetId="5" state="hidden" r:id="rId7"/>
    <sheet name="2018" sheetId="6" state="hidden" r:id="rId8"/>
  </sheets>
  <definedNames>
    <definedName name="_xlnm.Print_Area" localSheetId="0">'총 계'!$B$3:$L$32</definedName>
  </definedNames>
  <calcPr calcId="145621"/>
</workbook>
</file>

<file path=xl/calcChain.xml><?xml version="1.0" encoding="utf-8"?>
<calcChain xmlns="http://schemas.openxmlformats.org/spreadsheetml/2006/main">
  <c r="I30" i="8" l="1"/>
  <c r="F8" i="8" l="1"/>
  <c r="E16" i="2" l="1"/>
  <c r="J90" i="8"/>
  <c r="P111" i="8"/>
  <c r="P30" i="8"/>
  <c r="Q30" i="8"/>
  <c r="Q104" i="8"/>
  <c r="Q39" i="8"/>
  <c r="Q40" i="8"/>
  <c r="Q41" i="8"/>
  <c r="Q42" i="8"/>
  <c r="Q43" i="8"/>
  <c r="Q44" i="8"/>
  <c r="Q45" i="8"/>
  <c r="Q46" i="8"/>
  <c r="Q54" i="8"/>
  <c r="Q55" i="8"/>
  <c r="Q56" i="8"/>
  <c r="Q57" i="8"/>
  <c r="Q58" i="8"/>
  <c r="Q59" i="8"/>
  <c r="Q60" i="8"/>
  <c r="Q61" i="8"/>
  <c r="Q69" i="8"/>
  <c r="Q70" i="8"/>
  <c r="Q71" i="8"/>
  <c r="Q72" i="8"/>
  <c r="Q73" i="8"/>
  <c r="Q74" i="8"/>
  <c r="Q75" i="8"/>
  <c r="Q76" i="8"/>
  <c r="Q77" i="8"/>
  <c r="Q78" i="8"/>
  <c r="Q79" i="8"/>
  <c r="Q80" i="8"/>
  <c r="Q88" i="8"/>
  <c r="Q89" i="8"/>
  <c r="Q90" i="8"/>
  <c r="Q91" i="8"/>
  <c r="Q92" i="8"/>
  <c r="Q93" i="8"/>
  <c r="Q94" i="8"/>
  <c r="Q95" i="8"/>
  <c r="Q87" i="8"/>
  <c r="Q68" i="8"/>
  <c r="Q53" i="8"/>
  <c r="Q38" i="8"/>
  <c r="Q11" i="8"/>
  <c r="Q12" i="8"/>
  <c r="Q13" i="8"/>
  <c r="Q14" i="8"/>
  <c r="Q15" i="8"/>
  <c r="Q16" i="8"/>
  <c r="Q17" i="8"/>
  <c r="Q18" i="8"/>
  <c r="Q19" i="8"/>
  <c r="Q20" i="8"/>
  <c r="Q21" i="8"/>
  <c r="Q22" i="8"/>
  <c r="Q24" i="8"/>
  <c r="Q25" i="8"/>
  <c r="Q26" i="8"/>
  <c r="Q27" i="8"/>
  <c r="Q28" i="8"/>
  <c r="Q29" i="8"/>
  <c r="Q23" i="8"/>
  <c r="D15" i="1" l="1"/>
  <c r="E15" i="1"/>
  <c r="F39" i="2" l="1"/>
  <c r="D16" i="2" l="1"/>
  <c r="D33" i="2" l="1"/>
  <c r="E33" i="2"/>
  <c r="D39" i="2"/>
  <c r="E39" i="2"/>
  <c r="D27" i="2"/>
  <c r="E27" i="2"/>
  <c r="D19" i="2"/>
  <c r="E19" i="2"/>
  <c r="D8" i="2"/>
  <c r="E8" i="2"/>
  <c r="D37" i="2"/>
  <c r="F20" i="1" l="1"/>
  <c r="D44" i="3" l="1"/>
  <c r="I42" i="3"/>
  <c r="H42" i="3"/>
  <c r="F16" i="2" l="1"/>
  <c r="G16" i="2"/>
  <c r="F37" i="2" l="1"/>
  <c r="F33" i="2" s="1"/>
  <c r="I12" i="3"/>
  <c r="I67" i="8"/>
  <c r="I10" i="8" l="1"/>
  <c r="I112" i="8" s="1"/>
  <c r="I113" i="8" s="1"/>
  <c r="I37" i="8"/>
  <c r="I86" i="8"/>
  <c r="I100" i="8"/>
  <c r="H100" i="8" l="1"/>
  <c r="H86" i="8"/>
  <c r="H67" i="8"/>
  <c r="H52" i="8"/>
  <c r="H37" i="8"/>
  <c r="H10" i="8"/>
  <c r="H112" i="8" s="1"/>
  <c r="H9" i="1" l="1"/>
  <c r="J91" i="8"/>
  <c r="J94" i="8" l="1"/>
  <c r="J71" i="8"/>
  <c r="J72" i="8"/>
  <c r="J73" i="8"/>
  <c r="J74" i="8"/>
  <c r="J75" i="8"/>
  <c r="J76" i="8"/>
  <c r="J77" i="8"/>
  <c r="J78" i="8"/>
  <c r="J79" i="8"/>
  <c r="J80" i="8"/>
  <c r="J69" i="8"/>
  <c r="J68" i="8"/>
  <c r="H46" i="7"/>
  <c r="G25" i="7"/>
  <c r="G35" i="7" l="1"/>
  <c r="G15" i="7"/>
  <c r="G13" i="7"/>
  <c r="I12" i="7"/>
  <c r="D6" i="3"/>
  <c r="H98" i="8"/>
  <c r="E22" i="1" l="1"/>
  <c r="D22" i="1"/>
  <c r="U88" i="7"/>
  <c r="U89" i="7"/>
  <c r="U90" i="7"/>
  <c r="U91" i="7"/>
  <c r="U92" i="7"/>
  <c r="U93" i="7"/>
  <c r="T88" i="7"/>
  <c r="T89" i="7"/>
  <c r="T90" i="7"/>
  <c r="T91" i="7"/>
  <c r="T92" i="7"/>
  <c r="T93" i="7"/>
  <c r="S88" i="7"/>
  <c r="S89" i="7"/>
  <c r="S90" i="7"/>
  <c r="S91" i="7"/>
  <c r="S92" i="7"/>
  <c r="S93" i="7"/>
  <c r="S87" i="7"/>
  <c r="T87" i="7"/>
  <c r="U87" i="7"/>
  <c r="R88" i="7"/>
  <c r="R89" i="7"/>
  <c r="R90" i="7"/>
  <c r="R91" i="7"/>
  <c r="R92" i="7"/>
  <c r="R93" i="7"/>
  <c r="R87" i="7"/>
  <c r="U75" i="7"/>
  <c r="U76" i="7"/>
  <c r="U77" i="7"/>
  <c r="U78" i="7"/>
  <c r="U79" i="7"/>
  <c r="U80" i="7"/>
  <c r="U74" i="7"/>
  <c r="T75" i="7"/>
  <c r="T76" i="7"/>
  <c r="T77" i="7"/>
  <c r="T78" i="7"/>
  <c r="T79" i="7"/>
  <c r="T80" i="7"/>
  <c r="T74" i="7"/>
  <c r="S75" i="7"/>
  <c r="S76" i="7"/>
  <c r="S77" i="7"/>
  <c r="S78" i="7"/>
  <c r="S79" i="7"/>
  <c r="S80" i="7"/>
  <c r="S74" i="7"/>
  <c r="R75" i="7"/>
  <c r="R76" i="7"/>
  <c r="R77" i="7"/>
  <c r="R78" i="7"/>
  <c r="R79" i="7"/>
  <c r="R80" i="7"/>
  <c r="R74" i="7"/>
  <c r="G73" i="7"/>
  <c r="H73" i="7"/>
  <c r="I73" i="7"/>
  <c r="F73" i="7"/>
  <c r="U59" i="7"/>
  <c r="U60" i="7"/>
  <c r="U61" i="7"/>
  <c r="U62" i="7"/>
  <c r="U63" i="7"/>
  <c r="U64" i="7"/>
  <c r="U65" i="7"/>
  <c r="U66" i="7"/>
  <c r="U67" i="7"/>
  <c r="U58" i="7"/>
  <c r="T59" i="7"/>
  <c r="T60" i="7"/>
  <c r="T61" i="7"/>
  <c r="T62" i="7"/>
  <c r="T63" i="7"/>
  <c r="T64" i="7"/>
  <c r="T65" i="7"/>
  <c r="T66" i="7"/>
  <c r="T67" i="7"/>
  <c r="T58" i="7"/>
  <c r="S59" i="7"/>
  <c r="S60" i="7"/>
  <c r="S61" i="7"/>
  <c r="S62" i="7"/>
  <c r="S63" i="7"/>
  <c r="S64" i="7"/>
  <c r="S65" i="7"/>
  <c r="S66" i="7"/>
  <c r="S67" i="7"/>
  <c r="S58" i="7"/>
  <c r="R59" i="7"/>
  <c r="R60" i="7"/>
  <c r="R61" i="7"/>
  <c r="R62" i="7"/>
  <c r="R63" i="7"/>
  <c r="R64" i="7"/>
  <c r="R65" i="7"/>
  <c r="R66" i="7"/>
  <c r="R67" i="7"/>
  <c r="R58" i="7"/>
  <c r="I59" i="7"/>
  <c r="I60" i="7"/>
  <c r="I58" i="7"/>
  <c r="H59" i="7"/>
  <c r="H60" i="7"/>
  <c r="H58" i="7"/>
  <c r="G59" i="7"/>
  <c r="G60" i="7"/>
  <c r="G58" i="7"/>
  <c r="F59" i="7"/>
  <c r="F60" i="7"/>
  <c r="F58" i="7"/>
  <c r="U47" i="7"/>
  <c r="U48" i="7"/>
  <c r="U49" i="7"/>
  <c r="U50" i="7"/>
  <c r="U51" i="7"/>
  <c r="U46" i="7"/>
  <c r="T47" i="7"/>
  <c r="T48" i="7"/>
  <c r="T49" i="7"/>
  <c r="T50" i="7"/>
  <c r="T51" i="7"/>
  <c r="T46" i="7"/>
  <c r="S47" i="7"/>
  <c r="S48" i="7"/>
  <c r="S49" i="7"/>
  <c r="S50" i="7"/>
  <c r="S51" i="7"/>
  <c r="S46" i="7"/>
  <c r="R47" i="7"/>
  <c r="R48" i="7"/>
  <c r="R49" i="7"/>
  <c r="R50" i="7"/>
  <c r="R51" i="7"/>
  <c r="R46" i="7"/>
  <c r="I47" i="7"/>
  <c r="I48" i="7"/>
  <c r="I46" i="7"/>
  <c r="H47" i="7"/>
  <c r="H48" i="7"/>
  <c r="G47" i="7"/>
  <c r="G48" i="7"/>
  <c r="G46" i="7"/>
  <c r="F47" i="7"/>
  <c r="F48" i="7"/>
  <c r="F46" i="7"/>
  <c r="U35" i="7"/>
  <c r="U36" i="7"/>
  <c r="T35" i="7"/>
  <c r="T36" i="7"/>
  <c r="S35" i="7"/>
  <c r="S36" i="7"/>
  <c r="R35" i="7"/>
  <c r="R36" i="7"/>
  <c r="U34" i="7"/>
  <c r="T34" i="7"/>
  <c r="S34" i="7"/>
  <c r="R34" i="7"/>
  <c r="I35" i="7"/>
  <c r="I36" i="7"/>
  <c r="I37" i="7"/>
  <c r="I38" i="7"/>
  <c r="I39" i="7"/>
  <c r="I34" i="7"/>
  <c r="H35" i="7"/>
  <c r="H36" i="7"/>
  <c r="H37" i="7"/>
  <c r="H38" i="7"/>
  <c r="H39" i="7"/>
  <c r="H34" i="7"/>
  <c r="G36" i="7"/>
  <c r="G37" i="7"/>
  <c r="G38" i="7"/>
  <c r="G39" i="7"/>
  <c r="G34" i="7"/>
  <c r="F35" i="7"/>
  <c r="F36" i="7"/>
  <c r="F37" i="7"/>
  <c r="F38" i="7"/>
  <c r="F39" i="7"/>
  <c r="F34" i="7"/>
  <c r="I13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H13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K14" i="7"/>
  <c r="G16" i="7"/>
  <c r="G17" i="7"/>
  <c r="G18" i="7"/>
  <c r="G19" i="7"/>
  <c r="G20" i="7"/>
  <c r="G21" i="7"/>
  <c r="G22" i="7"/>
  <c r="G23" i="7"/>
  <c r="G24" i="7"/>
  <c r="G26" i="7"/>
  <c r="G27" i="7"/>
  <c r="G12" i="7"/>
  <c r="F13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12" i="7"/>
  <c r="U13" i="7"/>
  <c r="U14" i="7"/>
  <c r="U15" i="7"/>
  <c r="U16" i="7"/>
  <c r="U12" i="7"/>
  <c r="T13" i="7"/>
  <c r="T14" i="7"/>
  <c r="T15" i="7"/>
  <c r="T16" i="7"/>
  <c r="T12" i="7"/>
  <c r="S13" i="7"/>
  <c r="S14" i="7"/>
  <c r="S15" i="7"/>
  <c r="S16" i="7"/>
  <c r="S12" i="7"/>
  <c r="R13" i="7"/>
  <c r="R14" i="7"/>
  <c r="R15" i="7"/>
  <c r="R16" i="7"/>
  <c r="R12" i="7"/>
  <c r="J14" i="7"/>
  <c r="H71" i="7"/>
  <c r="H55" i="7"/>
  <c r="H43" i="7"/>
  <c r="H31" i="7"/>
  <c r="H9" i="7"/>
  <c r="T84" i="7" s="1"/>
  <c r="F71" i="7"/>
  <c r="F55" i="7"/>
  <c r="F43" i="7"/>
  <c r="F31" i="7"/>
  <c r="F9" i="7"/>
  <c r="R71" i="7" s="1"/>
  <c r="G33" i="7" l="1"/>
  <c r="K73" i="7"/>
  <c r="V91" i="7"/>
  <c r="J73" i="7"/>
  <c r="W48" i="7"/>
  <c r="J47" i="7"/>
  <c r="V90" i="7"/>
  <c r="V74" i="7"/>
  <c r="V78" i="7"/>
  <c r="V65" i="7"/>
  <c r="V61" i="7"/>
  <c r="R57" i="7"/>
  <c r="V58" i="7"/>
  <c r="V64" i="7"/>
  <c r="V60" i="7"/>
  <c r="V36" i="7"/>
  <c r="J23" i="7"/>
  <c r="J19" i="7"/>
  <c r="J15" i="7"/>
  <c r="J20" i="7"/>
  <c r="V76" i="7"/>
  <c r="H12" i="7"/>
  <c r="J12" i="7" s="1"/>
  <c r="W75" i="7"/>
  <c r="W74" i="7"/>
  <c r="W77" i="7"/>
  <c r="V75" i="7"/>
  <c r="W80" i="7"/>
  <c r="W76" i="7"/>
  <c r="J46" i="7"/>
  <c r="K48" i="7"/>
  <c r="S33" i="7"/>
  <c r="K24" i="7"/>
  <c r="W67" i="7"/>
  <c r="W63" i="7"/>
  <c r="W59" i="7"/>
  <c r="W66" i="7"/>
  <c r="W62" i="7"/>
  <c r="K46" i="7"/>
  <c r="W51" i="7"/>
  <c r="W47" i="7"/>
  <c r="W50" i="7"/>
  <c r="S45" i="7"/>
  <c r="T33" i="7"/>
  <c r="J22" i="7"/>
  <c r="K25" i="7"/>
  <c r="K21" i="7"/>
  <c r="K15" i="7"/>
  <c r="J18" i="7"/>
  <c r="J13" i="7"/>
  <c r="K17" i="7"/>
  <c r="K13" i="7"/>
  <c r="V14" i="7"/>
  <c r="W15" i="7"/>
  <c r="J25" i="7"/>
  <c r="J21" i="7"/>
  <c r="J17" i="7"/>
  <c r="K16" i="7"/>
  <c r="V16" i="7"/>
  <c r="W12" i="7"/>
  <c r="W13" i="7"/>
  <c r="J24" i="7"/>
  <c r="J16" i="7"/>
  <c r="K27" i="7"/>
  <c r="K23" i="7"/>
  <c r="K19" i="7"/>
  <c r="V15" i="7"/>
  <c r="S11" i="7"/>
  <c r="T11" i="7"/>
  <c r="V13" i="7"/>
  <c r="W14" i="7"/>
  <c r="J34" i="7"/>
  <c r="J36" i="7"/>
  <c r="K38" i="7"/>
  <c r="R33" i="7"/>
  <c r="G45" i="7"/>
  <c r="J48" i="7"/>
  <c r="K47" i="7"/>
  <c r="V51" i="7"/>
  <c r="T45" i="7"/>
  <c r="W49" i="7"/>
  <c r="H57" i="7"/>
  <c r="K60" i="7"/>
  <c r="S57" i="7"/>
  <c r="V66" i="7"/>
  <c r="V62" i="7"/>
  <c r="W58" i="7"/>
  <c r="W64" i="7"/>
  <c r="W60" i="7"/>
  <c r="K12" i="7"/>
  <c r="K20" i="7"/>
  <c r="F33" i="7"/>
  <c r="J39" i="7"/>
  <c r="J35" i="7"/>
  <c r="K37" i="7"/>
  <c r="V35" i="7"/>
  <c r="V50" i="7"/>
  <c r="W46" i="7"/>
  <c r="V92" i="7"/>
  <c r="V88" i="7"/>
  <c r="W90" i="7"/>
  <c r="J38" i="7"/>
  <c r="K34" i="7"/>
  <c r="K36" i="7"/>
  <c r="W36" i="7"/>
  <c r="V49" i="7"/>
  <c r="J37" i="7"/>
  <c r="K39" i="7"/>
  <c r="K35" i="7"/>
  <c r="U33" i="7"/>
  <c r="W35" i="7"/>
  <c r="F45" i="7"/>
  <c r="R45" i="7"/>
  <c r="V46" i="7"/>
  <c r="V48" i="7"/>
  <c r="I57" i="7"/>
  <c r="V67" i="7"/>
  <c r="V63" i="7"/>
  <c r="T57" i="7"/>
  <c r="W65" i="7"/>
  <c r="W61" i="7"/>
  <c r="V12" i="7"/>
  <c r="K26" i="7"/>
  <c r="K22" i="7"/>
  <c r="K18" i="7"/>
  <c r="J26" i="7"/>
  <c r="V34" i="7"/>
  <c r="W34" i="7"/>
  <c r="J58" i="7"/>
  <c r="J59" i="7"/>
  <c r="V59" i="7"/>
  <c r="R73" i="7"/>
  <c r="V79" i="7"/>
  <c r="W78" i="7"/>
  <c r="R86" i="7"/>
  <c r="T86" i="7"/>
  <c r="V93" i="7"/>
  <c r="V89" i="7"/>
  <c r="W91" i="7"/>
  <c r="V47" i="7"/>
  <c r="U45" i="7"/>
  <c r="U57" i="7"/>
  <c r="U73" i="7"/>
  <c r="W16" i="7"/>
  <c r="H45" i="7"/>
  <c r="T73" i="7"/>
  <c r="W93" i="7"/>
  <c r="W89" i="7"/>
  <c r="I45" i="7"/>
  <c r="K58" i="7"/>
  <c r="J60" i="7"/>
  <c r="K59" i="7"/>
  <c r="S73" i="7"/>
  <c r="V80" i="7"/>
  <c r="W79" i="7"/>
  <c r="W87" i="7"/>
  <c r="S86" i="7"/>
  <c r="W92" i="7"/>
  <c r="W88" i="7"/>
  <c r="R31" i="7"/>
  <c r="R9" i="7"/>
  <c r="T31" i="7"/>
  <c r="T55" i="7"/>
  <c r="R84" i="7"/>
  <c r="V77" i="7"/>
  <c r="U86" i="7"/>
  <c r="V87" i="7"/>
  <c r="R43" i="7"/>
  <c r="T71" i="7"/>
  <c r="F57" i="7"/>
  <c r="R55" i="7"/>
  <c r="T9" i="7"/>
  <c r="T43" i="7"/>
  <c r="G57" i="7"/>
  <c r="I33" i="7"/>
  <c r="H33" i="7"/>
  <c r="J27" i="7"/>
  <c r="U11" i="7"/>
  <c r="F11" i="7"/>
  <c r="G11" i="7"/>
  <c r="R11" i="7"/>
  <c r="I11" i="7"/>
  <c r="F98" i="8"/>
  <c r="F84" i="8"/>
  <c r="F65" i="8"/>
  <c r="F50" i="8"/>
  <c r="H84" i="8"/>
  <c r="H65" i="8"/>
  <c r="H50" i="8"/>
  <c r="H35" i="8"/>
  <c r="F35" i="8"/>
  <c r="H8" i="8"/>
  <c r="G100" i="8"/>
  <c r="F100" i="8"/>
  <c r="K94" i="8"/>
  <c r="K93" i="8"/>
  <c r="J93" i="8"/>
  <c r="K91" i="8"/>
  <c r="K90" i="8"/>
  <c r="K89" i="8"/>
  <c r="J89" i="8"/>
  <c r="K88" i="8"/>
  <c r="J88" i="8"/>
  <c r="K87" i="8"/>
  <c r="J87" i="8"/>
  <c r="G86" i="8"/>
  <c r="F86" i="8"/>
  <c r="K80" i="8"/>
  <c r="K79" i="8"/>
  <c r="K78" i="8"/>
  <c r="K77" i="8"/>
  <c r="K76" i="8"/>
  <c r="K75" i="8"/>
  <c r="K74" i="8"/>
  <c r="K73" i="8"/>
  <c r="K72" i="8"/>
  <c r="K71" i="8"/>
  <c r="K69" i="8"/>
  <c r="K68" i="8"/>
  <c r="G67" i="8"/>
  <c r="F67" i="8"/>
  <c r="K61" i="8"/>
  <c r="J61" i="8"/>
  <c r="K60" i="8"/>
  <c r="J60" i="8"/>
  <c r="K59" i="8"/>
  <c r="J59" i="8"/>
  <c r="K58" i="8"/>
  <c r="J58" i="8"/>
  <c r="K57" i="8"/>
  <c r="J57" i="8"/>
  <c r="K56" i="8"/>
  <c r="J56" i="8"/>
  <c r="K55" i="8"/>
  <c r="J55" i="8"/>
  <c r="K54" i="8"/>
  <c r="J54" i="8"/>
  <c r="I52" i="8"/>
  <c r="G52" i="8"/>
  <c r="F52" i="8"/>
  <c r="K46" i="8"/>
  <c r="J46" i="8"/>
  <c r="K45" i="8"/>
  <c r="J45" i="8"/>
  <c r="K44" i="8"/>
  <c r="J44" i="8"/>
  <c r="K43" i="8"/>
  <c r="J43" i="8"/>
  <c r="K42" i="8"/>
  <c r="J42" i="8"/>
  <c r="K41" i="8"/>
  <c r="J41" i="8"/>
  <c r="K40" i="8"/>
  <c r="J40" i="8"/>
  <c r="K39" i="8"/>
  <c r="J39" i="8"/>
  <c r="K38" i="8"/>
  <c r="J38" i="8"/>
  <c r="G37" i="8"/>
  <c r="F37" i="8"/>
  <c r="K30" i="8"/>
  <c r="J30" i="8"/>
  <c r="K29" i="8"/>
  <c r="J29" i="8"/>
  <c r="K28" i="8"/>
  <c r="J28" i="8"/>
  <c r="K27" i="8"/>
  <c r="J27" i="8"/>
  <c r="K26" i="8"/>
  <c r="J26" i="8"/>
  <c r="K25" i="8"/>
  <c r="J25" i="8"/>
  <c r="K24" i="8"/>
  <c r="J24" i="8"/>
  <c r="K23" i="8"/>
  <c r="J23" i="8"/>
  <c r="K22" i="8"/>
  <c r="J22" i="8"/>
  <c r="K21" i="8"/>
  <c r="J21" i="8"/>
  <c r="K20" i="8"/>
  <c r="J20" i="8"/>
  <c r="K19" i="8"/>
  <c r="J19" i="8"/>
  <c r="K18" i="8"/>
  <c r="J18" i="8"/>
  <c r="K17" i="8"/>
  <c r="J17" i="8"/>
  <c r="K16" i="8"/>
  <c r="J16" i="8"/>
  <c r="K15" i="8"/>
  <c r="J15" i="8"/>
  <c r="K14" i="8"/>
  <c r="J14" i="8"/>
  <c r="K12" i="8"/>
  <c r="J12" i="8"/>
  <c r="K11" i="8"/>
  <c r="J11" i="8"/>
  <c r="G10" i="8"/>
  <c r="G112" i="8" s="1"/>
  <c r="G113" i="8" s="1"/>
  <c r="F10" i="8"/>
  <c r="F112" i="8" s="1"/>
  <c r="F113" i="8" s="1"/>
  <c r="I9" i="1" l="1"/>
  <c r="G15" i="1"/>
  <c r="G9" i="1"/>
  <c r="F9" i="1"/>
  <c r="F15" i="1"/>
  <c r="I15" i="1"/>
  <c r="K10" i="8"/>
  <c r="Q7" i="8"/>
  <c r="J45" i="7"/>
  <c r="W33" i="7"/>
  <c r="V57" i="7"/>
  <c r="H11" i="7"/>
  <c r="H15" i="1" s="1"/>
  <c r="V33" i="7"/>
  <c r="K45" i="7"/>
  <c r="W45" i="7"/>
  <c r="K33" i="7"/>
  <c r="W11" i="7"/>
  <c r="V45" i="7"/>
  <c r="V86" i="7"/>
  <c r="V11" i="7"/>
  <c r="W73" i="7"/>
  <c r="J33" i="7"/>
  <c r="W57" i="7"/>
  <c r="H22" i="1"/>
  <c r="V73" i="7"/>
  <c r="G22" i="1"/>
  <c r="W86" i="7"/>
  <c r="F22" i="1"/>
  <c r="J57" i="7"/>
  <c r="K57" i="7"/>
  <c r="I22" i="1"/>
  <c r="K11" i="7"/>
  <c r="IV61" i="8"/>
  <c r="K37" i="8"/>
  <c r="J67" i="8"/>
  <c r="J37" i="8"/>
  <c r="K67" i="8"/>
  <c r="J10" i="8"/>
  <c r="J52" i="8"/>
  <c r="J86" i="8"/>
  <c r="K52" i="8"/>
  <c r="K86" i="8"/>
  <c r="F23" i="1" l="1"/>
  <c r="J11" i="7"/>
  <c r="E35" i="3"/>
  <c r="E34" i="3"/>
  <c r="E38" i="3"/>
  <c r="I38" i="3"/>
  <c r="H38" i="3"/>
  <c r="I43" i="3"/>
  <c r="I44" i="3"/>
  <c r="I45" i="3"/>
  <c r="I46" i="3"/>
  <c r="H43" i="3"/>
  <c r="H44" i="3"/>
  <c r="H45" i="3"/>
  <c r="H46" i="3"/>
  <c r="I40" i="3"/>
  <c r="I41" i="3"/>
  <c r="H40" i="3"/>
  <c r="H41" i="3"/>
  <c r="E44" i="3"/>
  <c r="E45" i="3"/>
  <c r="E46" i="3"/>
  <c r="E43" i="3"/>
  <c r="E41" i="3"/>
  <c r="E40" i="3"/>
  <c r="D45" i="3"/>
  <c r="D46" i="3"/>
  <c r="D43" i="3"/>
  <c r="D41" i="3"/>
  <c r="D40" i="3"/>
  <c r="D38" i="3"/>
  <c r="H35" i="3"/>
  <c r="H34" i="3"/>
  <c r="I32" i="3"/>
  <c r="H32" i="3"/>
  <c r="D36" i="3"/>
  <c r="D35" i="3"/>
  <c r="D34" i="3"/>
  <c r="E32" i="3"/>
  <c r="D32" i="3"/>
  <c r="H13" i="3"/>
  <c r="H12" i="3"/>
  <c r="H11" i="3"/>
  <c r="H10" i="3"/>
  <c r="H9" i="3"/>
  <c r="E37" i="2" l="1"/>
  <c r="G28" i="1"/>
  <c r="G37" i="2"/>
  <c r="G29" i="1" s="1"/>
  <c r="G33" i="2" l="1"/>
  <c r="H29" i="1" s="1"/>
  <c r="H28" i="1"/>
  <c r="G19" i="2" l="1"/>
  <c r="F29" i="1" s="1"/>
  <c r="F19" i="2" l="1"/>
  <c r="F28" i="1" s="1"/>
  <c r="E42" i="3" l="1"/>
  <c r="E31" i="3"/>
  <c r="E30" i="3"/>
  <c r="E24" i="3"/>
  <c r="E21" i="3"/>
  <c r="E18" i="3"/>
  <c r="E14" i="3"/>
  <c r="E13" i="3"/>
  <c r="D31" i="3"/>
  <c r="D30" i="3"/>
  <c r="D25" i="3"/>
  <c r="D24" i="3"/>
  <c r="D23" i="3"/>
  <c r="D21" i="3"/>
  <c r="D17" i="3"/>
  <c r="D15" i="3"/>
  <c r="D14" i="3"/>
  <c r="D11" i="3"/>
  <c r="D10" i="3"/>
  <c r="E29" i="3"/>
  <c r="E23" i="3"/>
  <c r="E22" i="3"/>
  <c r="E12" i="3"/>
  <c r="D29" i="3"/>
  <c r="D22" i="3"/>
  <c r="D18" i="3"/>
  <c r="D13" i="3"/>
  <c r="E9" i="3"/>
  <c r="E10" i="3"/>
  <c r="E11" i="3"/>
  <c r="E15" i="3"/>
  <c r="E17" i="3"/>
  <c r="E20" i="3"/>
  <c r="E25" i="3"/>
  <c r="E26" i="3"/>
  <c r="E28" i="3"/>
  <c r="E36" i="3"/>
  <c r="D9" i="3"/>
  <c r="D12" i="3"/>
  <c r="D20" i="3"/>
  <c r="D26" i="3"/>
  <c r="D28" i="3"/>
  <c r="D42" i="3"/>
  <c r="I6" i="3" l="1"/>
  <c r="H6" i="3"/>
  <c r="I36" i="3"/>
  <c r="I35" i="3"/>
  <c r="I34" i="3"/>
  <c r="I31" i="3"/>
  <c r="I30" i="3"/>
  <c r="I29" i="3"/>
  <c r="I28" i="3"/>
  <c r="I26" i="3"/>
  <c r="I25" i="3"/>
  <c r="I24" i="3"/>
  <c r="I23" i="3"/>
  <c r="I22" i="3"/>
  <c r="I21" i="3"/>
  <c r="I20" i="3"/>
  <c r="I18" i="3"/>
  <c r="I17" i="3"/>
  <c r="I15" i="3"/>
  <c r="I14" i="3"/>
  <c r="I13" i="3"/>
  <c r="I11" i="3"/>
  <c r="I10" i="3"/>
  <c r="I9" i="3"/>
  <c r="H36" i="3"/>
  <c r="H31" i="3"/>
  <c r="H30" i="3"/>
  <c r="H29" i="3"/>
  <c r="H28" i="3"/>
  <c r="H26" i="3"/>
  <c r="H25" i="3"/>
  <c r="H24" i="3"/>
  <c r="H23" i="3"/>
  <c r="H22" i="3"/>
  <c r="H21" i="3"/>
  <c r="H20" i="3"/>
  <c r="H18" i="3"/>
  <c r="H17" i="3"/>
  <c r="H15" i="3"/>
  <c r="H14" i="3"/>
  <c r="I7" i="6" l="1"/>
  <c r="H7" i="6"/>
  <c r="I6" i="6"/>
  <c r="H6" i="6"/>
  <c r="I5" i="6"/>
  <c r="H5" i="6"/>
  <c r="H4" i="6"/>
  <c r="C13" i="6"/>
  <c r="C12" i="6"/>
  <c r="C11" i="6"/>
  <c r="D9" i="6"/>
  <c r="C9" i="6"/>
  <c r="D8" i="6"/>
  <c r="C8" i="6"/>
  <c r="D7" i="6"/>
  <c r="C7" i="6"/>
  <c r="D4" i="6"/>
  <c r="C4" i="6"/>
  <c r="D3" i="6"/>
  <c r="C3" i="6"/>
  <c r="H7" i="5"/>
  <c r="I6" i="5"/>
  <c r="I47" i="5" s="1"/>
  <c r="H6" i="5"/>
  <c r="H5" i="5"/>
  <c r="H4" i="5"/>
  <c r="C13" i="5"/>
  <c r="C12" i="5"/>
  <c r="C11" i="5"/>
  <c r="D9" i="5"/>
  <c r="C9" i="5"/>
  <c r="D8" i="5"/>
  <c r="C8" i="5"/>
  <c r="C7" i="5"/>
  <c r="D4" i="5"/>
  <c r="C4" i="5"/>
  <c r="D3" i="5"/>
  <c r="C3" i="5"/>
  <c r="G39" i="2"/>
  <c r="I37" i="3"/>
  <c r="I33" i="3"/>
  <c r="G27" i="2"/>
  <c r="I19" i="3"/>
  <c r="G8" i="2"/>
  <c r="E29" i="1" s="1"/>
  <c r="H37" i="3"/>
  <c r="H33" i="3"/>
  <c r="F27" i="2"/>
  <c r="H19" i="3"/>
  <c r="F8" i="2"/>
  <c r="E28" i="1" s="1"/>
  <c r="E8" i="3"/>
  <c r="E19" i="3"/>
  <c r="I39" i="3" l="1"/>
  <c r="J29" i="1"/>
  <c r="H39" i="3"/>
  <c r="J28" i="1"/>
  <c r="H27" i="3"/>
  <c r="K28" i="1"/>
  <c r="I27" i="3"/>
  <c r="K29" i="1"/>
  <c r="H16" i="3"/>
  <c r="I28" i="1"/>
  <c r="I16" i="3"/>
  <c r="I29" i="1"/>
  <c r="I30" i="1" s="1"/>
  <c r="H8" i="3"/>
  <c r="I8" i="3"/>
  <c r="E31" i="1"/>
  <c r="I47" i="6"/>
  <c r="D36" i="5"/>
  <c r="C36" i="5"/>
  <c r="H47" i="5"/>
  <c r="D36" i="6"/>
  <c r="K33" i="3"/>
  <c r="K19" i="3"/>
  <c r="K37" i="3"/>
  <c r="J33" i="3"/>
  <c r="J19" i="3"/>
  <c r="J37" i="3"/>
  <c r="F7" i="2"/>
  <c r="H7" i="3" s="1"/>
  <c r="G7" i="2"/>
  <c r="I7" i="3" s="1"/>
  <c r="H47" i="6"/>
  <c r="C36" i="6"/>
  <c r="D28" i="1" l="1"/>
  <c r="J47" i="6"/>
  <c r="K16" i="3"/>
  <c r="J16" i="3"/>
  <c r="D29" i="1"/>
  <c r="K39" i="3"/>
  <c r="K27" i="3"/>
  <c r="J39" i="3"/>
  <c r="J27" i="3"/>
  <c r="J8" i="3"/>
  <c r="K8" i="3"/>
  <c r="E36" i="6"/>
  <c r="K7" i="3"/>
  <c r="J7" i="3"/>
  <c r="E6" i="3"/>
  <c r="E39" i="3" l="1"/>
  <c r="E37" i="3" l="1"/>
  <c r="E33" i="3"/>
  <c r="E27" i="3"/>
  <c r="E16" i="3"/>
  <c r="E7" i="2"/>
  <c r="E7" i="3" s="1"/>
  <c r="D37" i="3" l="1"/>
  <c r="G37" i="3" s="1"/>
  <c r="D39" i="3"/>
  <c r="D33" i="3"/>
  <c r="G33" i="3" s="1"/>
  <c r="D27" i="3"/>
  <c r="G27" i="3" s="1"/>
  <c r="D19" i="3"/>
  <c r="G19" i="3" s="1"/>
  <c r="D16" i="3"/>
  <c r="D8" i="3"/>
  <c r="D7" i="2" l="1"/>
  <c r="D7" i="3" s="1"/>
  <c r="H20" i="1" l="1"/>
  <c r="D20" i="1"/>
  <c r="H13" i="1"/>
  <c r="F13" i="1"/>
  <c r="D13" i="1"/>
  <c r="I31" i="1"/>
  <c r="F31" i="1"/>
  <c r="K31" i="1"/>
  <c r="H31" i="1"/>
  <c r="G31" i="1"/>
  <c r="J31" i="1"/>
  <c r="G39" i="3" l="1"/>
  <c r="K9" i="1"/>
  <c r="E30" i="1"/>
  <c r="H30" i="1"/>
  <c r="G30" i="1"/>
  <c r="K30" i="1"/>
  <c r="F30" i="1"/>
  <c r="J30" i="1"/>
  <c r="F37" i="3"/>
  <c r="D30" i="1" l="1"/>
  <c r="G16" i="1"/>
  <c r="G23" i="1"/>
  <c r="D31" i="1"/>
  <c r="G16" i="3"/>
  <c r="F33" i="3"/>
  <c r="F27" i="3"/>
  <c r="F39" i="3"/>
  <c r="F19" i="3"/>
  <c r="F16" i="3"/>
  <c r="F8" i="3"/>
  <c r="G8" i="3"/>
  <c r="I16" i="1" l="1"/>
  <c r="K15" i="1"/>
  <c r="I23" i="1"/>
  <c r="K22" i="1"/>
  <c r="J22" i="1"/>
  <c r="G7" i="3"/>
  <c r="F7" i="3"/>
  <c r="F16" i="1" l="1"/>
  <c r="H23" i="1" l="1"/>
  <c r="J9" i="1"/>
  <c r="J15" i="1"/>
  <c r="H16" i="1"/>
</calcChain>
</file>

<file path=xl/sharedStrings.xml><?xml version="1.0" encoding="utf-8"?>
<sst xmlns="http://schemas.openxmlformats.org/spreadsheetml/2006/main" count="938" uniqueCount="355">
  <si>
    <t>선석명칭</t>
  </si>
  <si>
    <t>접안능력(DWT) </t>
  </si>
  <si>
    <t>처리화물</t>
  </si>
  <si>
    <t>운영자</t>
  </si>
  <si>
    <t>국제1번</t>
  </si>
  <si>
    <t>잡화,컨테이너</t>
  </si>
  <si>
    <t>국제2번</t>
  </si>
  <si>
    <t>철강</t>
  </si>
  <si>
    <t>㈜유성TNS</t>
  </si>
  <si>
    <t>평택항만㈜ </t>
  </si>
  <si>
    <t>자동차</t>
  </si>
  <si>
    <t>컨테이너</t>
  </si>
  <si>
    <t>PCTC </t>
  </si>
  <si>
    <t>현대제철㈜</t>
  </si>
  <si>
    <t>비고</t>
    <phoneticPr fontId="5" type="noConversion"/>
  </si>
  <si>
    <t>합계</t>
    <phoneticPr fontId="5" type="noConversion"/>
  </si>
  <si>
    <t>모래</t>
    <phoneticPr fontId="5" type="noConversion"/>
  </si>
  <si>
    <t>농수산물</t>
    <phoneticPr fontId="5" type="noConversion"/>
  </si>
  <si>
    <t>차량</t>
    <phoneticPr fontId="5" type="noConversion"/>
  </si>
  <si>
    <t>기계제품</t>
    <phoneticPr fontId="5" type="noConversion"/>
  </si>
  <si>
    <t>기타</t>
    <phoneticPr fontId="5" type="noConversion"/>
  </si>
  <si>
    <t>액체화물</t>
    <phoneticPr fontId="5" type="noConversion"/>
  </si>
  <si>
    <t>시멘트</t>
    <phoneticPr fontId="5" type="noConversion"/>
  </si>
  <si>
    <t>화물별</t>
    <phoneticPr fontId="5" type="noConversion"/>
  </si>
  <si>
    <t>농수산물</t>
    <phoneticPr fontId="5" type="noConversion"/>
  </si>
  <si>
    <t>육  류</t>
    <phoneticPr fontId="5" type="noConversion"/>
  </si>
  <si>
    <t>어패류.갑각류 등</t>
    <phoneticPr fontId="5" type="noConversion"/>
  </si>
  <si>
    <t>양곡</t>
    <phoneticPr fontId="5" type="noConversion"/>
  </si>
  <si>
    <t>제분공업생산품</t>
    <phoneticPr fontId="5" type="noConversion"/>
  </si>
  <si>
    <t>기타 동.식물 생산품</t>
    <phoneticPr fontId="5" type="noConversion"/>
  </si>
  <si>
    <t>당류</t>
    <phoneticPr fontId="5" type="noConversion"/>
  </si>
  <si>
    <t>음료.주류.조제식품</t>
    <phoneticPr fontId="5" type="noConversion"/>
  </si>
  <si>
    <t>모래</t>
    <phoneticPr fontId="5" type="noConversion"/>
  </si>
  <si>
    <t>철광석</t>
    <phoneticPr fontId="5" type="noConversion"/>
  </si>
  <si>
    <t>무연탄</t>
    <phoneticPr fontId="5" type="noConversion"/>
  </si>
  <si>
    <t>기타 광석 및 생산품</t>
    <phoneticPr fontId="5" type="noConversion"/>
  </si>
  <si>
    <t>고철</t>
    <phoneticPr fontId="5" type="noConversion"/>
  </si>
  <si>
    <t>철강및그제품</t>
    <phoneticPr fontId="5" type="noConversion"/>
  </si>
  <si>
    <t>비철금속 및 그제품</t>
    <phoneticPr fontId="5" type="noConversion"/>
  </si>
  <si>
    <t>액체화물</t>
    <phoneticPr fontId="5" type="noConversion"/>
  </si>
  <si>
    <t>석유정제품</t>
    <phoneticPr fontId="5" type="noConversion"/>
  </si>
  <si>
    <t>석유가스및기타가스</t>
    <phoneticPr fontId="5" type="noConversion"/>
  </si>
  <si>
    <t>화학공업생산품</t>
    <phoneticPr fontId="5" type="noConversion"/>
  </si>
  <si>
    <t>동.식물성 유지류</t>
    <phoneticPr fontId="5" type="noConversion"/>
  </si>
  <si>
    <t>기계제품</t>
    <phoneticPr fontId="5" type="noConversion"/>
  </si>
  <si>
    <t>기계류 및 그부품</t>
    <phoneticPr fontId="5" type="noConversion"/>
  </si>
  <si>
    <t>전기기기 및 그부품</t>
    <phoneticPr fontId="5" type="noConversion"/>
  </si>
  <si>
    <t>항공기.선박 그부품</t>
    <phoneticPr fontId="5" type="noConversion"/>
  </si>
  <si>
    <t>차량</t>
    <phoneticPr fontId="5" type="noConversion"/>
  </si>
  <si>
    <t>차량및그부품</t>
    <phoneticPr fontId="5" type="noConversion"/>
  </si>
  <si>
    <t>기타</t>
    <phoneticPr fontId="5" type="noConversion"/>
  </si>
  <si>
    <t>원목</t>
    <phoneticPr fontId="5" type="noConversion"/>
  </si>
  <si>
    <t>목재.목탄.코르크</t>
    <phoneticPr fontId="5" type="noConversion"/>
  </si>
  <si>
    <t>비료</t>
    <phoneticPr fontId="5" type="noConversion"/>
  </si>
  <si>
    <t>피혁류 및 그제품</t>
    <phoneticPr fontId="5" type="noConversion"/>
  </si>
  <si>
    <t>방직용섬유및그제품</t>
    <phoneticPr fontId="5" type="noConversion"/>
  </si>
  <si>
    <t>유연탄</t>
    <phoneticPr fontId="5" type="noConversion"/>
  </si>
  <si>
    <t>원유(역청유),석유</t>
    <phoneticPr fontId="5" type="noConversion"/>
  </si>
  <si>
    <t>전년동기대비</t>
    <phoneticPr fontId="5" type="noConversion"/>
  </si>
  <si>
    <t>모래부두 2</t>
  </si>
  <si>
    <t>모래부두 3</t>
  </si>
  <si>
    <t>모래부두 4</t>
  </si>
  <si>
    <t>모래부두 5</t>
  </si>
  <si>
    <t>모래부두 6</t>
  </si>
  <si>
    <t>모래부두 7</t>
  </si>
  <si>
    <t>구분</t>
    <phoneticPr fontId="5" type="noConversion"/>
  </si>
  <si>
    <t>처리실적</t>
    <phoneticPr fontId="5" type="noConversion"/>
  </si>
  <si>
    <t>증감</t>
    <phoneticPr fontId="5" type="noConversion"/>
  </si>
  <si>
    <t>비고</t>
    <phoneticPr fontId="5" type="noConversion"/>
  </si>
  <si>
    <t>선박입출항</t>
    <phoneticPr fontId="5" type="noConversion"/>
  </si>
  <si>
    <t>화물입출항</t>
    <phoneticPr fontId="5" type="noConversion"/>
  </si>
  <si>
    <t>선박입출항
(a)</t>
    <phoneticPr fontId="5" type="noConversion"/>
  </si>
  <si>
    <t>화물입출항
(b)</t>
    <phoneticPr fontId="5" type="noConversion"/>
  </si>
  <si>
    <t>선박입출항
( c)</t>
    <phoneticPr fontId="5" type="noConversion"/>
  </si>
  <si>
    <t>화물입출항
(d)</t>
    <phoneticPr fontId="5" type="noConversion"/>
  </si>
  <si>
    <t>선박입출항
(a/c)</t>
    <phoneticPr fontId="5" type="noConversion"/>
  </si>
  <si>
    <t>화물입출항
(b/d)</t>
    <phoneticPr fontId="5" type="noConversion"/>
  </si>
  <si>
    <t xml:space="preserve"> [국가운영 부두]</t>
    <phoneticPr fontId="5" type="noConversion"/>
  </si>
  <si>
    <t>합계</t>
    <phoneticPr fontId="5" type="noConversion"/>
  </si>
  <si>
    <t>비중(국가운영부두/총계)</t>
    <phoneticPr fontId="5" type="noConversion"/>
  </si>
  <si>
    <t xml:space="preserve"> [민간운영 부두]</t>
    <phoneticPr fontId="5" type="noConversion"/>
  </si>
  <si>
    <t>비중(민간운영부두/총계)</t>
    <phoneticPr fontId="5" type="noConversion"/>
  </si>
  <si>
    <t>(단위 : 톤)</t>
    <phoneticPr fontId="5" type="noConversion"/>
  </si>
  <si>
    <t>계</t>
    <phoneticPr fontId="5" type="noConversion"/>
  </si>
  <si>
    <t>농수산물</t>
    <phoneticPr fontId="5" type="noConversion"/>
  </si>
  <si>
    <t>철재류</t>
    <phoneticPr fontId="5" type="noConversion"/>
  </si>
  <si>
    <t>차량</t>
    <phoneticPr fontId="5" type="noConversion"/>
  </si>
  <si>
    <t>기계제품</t>
    <phoneticPr fontId="5" type="noConversion"/>
  </si>
  <si>
    <t>모래</t>
    <phoneticPr fontId="5" type="noConversion"/>
  </si>
  <si>
    <t>기타</t>
    <phoneticPr fontId="5" type="noConversion"/>
  </si>
  <si>
    <t>액체화물</t>
    <phoneticPr fontId="5" type="noConversion"/>
  </si>
  <si>
    <t>증감량</t>
    <phoneticPr fontId="5" type="noConversion"/>
  </si>
  <si>
    <t>증감율</t>
    <phoneticPr fontId="5" type="noConversion"/>
  </si>
  <si>
    <t>소계</t>
    <phoneticPr fontId="5" type="noConversion"/>
  </si>
  <si>
    <t>공용</t>
    <phoneticPr fontId="5" type="noConversion"/>
  </si>
  <si>
    <t>PIRT</t>
    <phoneticPr fontId="5" type="noConversion"/>
  </si>
  <si>
    <t>자동차</t>
    <phoneticPr fontId="5" type="noConversion"/>
  </si>
  <si>
    <t>컨테이너</t>
    <phoneticPr fontId="5" type="noConversion"/>
  </si>
  <si>
    <t>㈜동방</t>
    <phoneticPr fontId="5" type="noConversion"/>
  </si>
  <si>
    <t>일반화물</t>
    <phoneticPr fontId="5" type="noConversion"/>
  </si>
  <si>
    <t>원정리</t>
    <phoneticPr fontId="5" type="noConversion"/>
  </si>
  <si>
    <t>처리실적</t>
    <phoneticPr fontId="5" type="noConversion"/>
  </si>
  <si>
    <t>증감</t>
    <phoneticPr fontId="5" type="noConversion"/>
  </si>
  <si>
    <t>선박입출항
(a)</t>
    <phoneticPr fontId="5" type="noConversion"/>
  </si>
  <si>
    <t>선박입출항
( c)</t>
    <phoneticPr fontId="5" type="noConversion"/>
  </si>
  <si>
    <t>화물입출항
(b/d)</t>
    <phoneticPr fontId="5" type="noConversion"/>
  </si>
  <si>
    <t>㈜평택당진항중앙부두</t>
    <phoneticPr fontId="5" type="noConversion"/>
  </si>
  <si>
    <t>영진글로벌</t>
    <phoneticPr fontId="5" type="noConversion"/>
  </si>
  <si>
    <t>양곡</t>
    <phoneticPr fontId="5" type="noConversion"/>
  </si>
  <si>
    <t>동부제철</t>
    <phoneticPr fontId="5" type="noConversion"/>
  </si>
  <si>
    <t>잡화</t>
    <phoneticPr fontId="5" type="noConversion"/>
  </si>
  <si>
    <t>당진항만㈜</t>
    <phoneticPr fontId="5" type="noConversion"/>
  </si>
  <si>
    <t>당진고대부두운영㈜</t>
    <phoneticPr fontId="5" type="noConversion"/>
  </si>
  <si>
    <t>동국제강</t>
    <phoneticPr fontId="5" type="noConversion"/>
  </si>
  <si>
    <t>타르</t>
    <phoneticPr fontId="5" type="noConversion"/>
  </si>
  <si>
    <t>LNG돌핀1</t>
    <phoneticPr fontId="5" type="noConversion"/>
  </si>
  <si>
    <t>LNG</t>
    <phoneticPr fontId="5" type="noConversion"/>
  </si>
  <si>
    <t>한국가스공사</t>
    <phoneticPr fontId="5" type="noConversion"/>
  </si>
  <si>
    <t>LNG돌핀2</t>
    <phoneticPr fontId="5" type="noConversion"/>
  </si>
  <si>
    <t>물양장</t>
    <phoneticPr fontId="5" type="noConversion"/>
  </si>
  <si>
    <t>석유제품</t>
    <phoneticPr fontId="5" type="noConversion"/>
  </si>
  <si>
    <t>LPG돌핀1</t>
    <phoneticPr fontId="5" type="noConversion"/>
  </si>
  <si>
    <t>LPG,석유제품</t>
    <phoneticPr fontId="5" type="noConversion"/>
  </si>
  <si>
    <t>석유공사</t>
    <phoneticPr fontId="5" type="noConversion"/>
  </si>
  <si>
    <t>LPG돌핀2</t>
    <phoneticPr fontId="5" type="noConversion"/>
  </si>
  <si>
    <t>LPG</t>
    <phoneticPr fontId="5" type="noConversion"/>
  </si>
  <si>
    <t>한전돌핀</t>
    <phoneticPr fontId="5" type="noConversion"/>
  </si>
  <si>
    <t>서부발전</t>
    <phoneticPr fontId="5" type="noConversion"/>
  </si>
  <si>
    <t>기호돌핀</t>
    <phoneticPr fontId="5" type="noConversion"/>
  </si>
  <si>
    <t>유기화합물</t>
    <phoneticPr fontId="5" type="noConversion"/>
  </si>
  <si>
    <t>기호물류</t>
    <phoneticPr fontId="5" type="noConversion"/>
  </si>
  <si>
    <t>SK돌핀</t>
    <phoneticPr fontId="5" type="noConversion"/>
  </si>
  <si>
    <t>SK㈜</t>
    <phoneticPr fontId="5" type="noConversion"/>
  </si>
  <si>
    <t>모래부두 1</t>
    <phoneticPr fontId="5" type="noConversion"/>
  </si>
  <si>
    <t xml:space="preserve">모래 </t>
    <phoneticPr fontId="5" type="noConversion"/>
  </si>
  <si>
    <t>공영해운㈜</t>
    <phoneticPr fontId="5" type="noConversion"/>
  </si>
  <si>
    <t>□ 운영주체별 : 국가운영(TOC)</t>
    <phoneticPr fontId="5" type="noConversion"/>
  </si>
  <si>
    <t>2,000
(TEU)</t>
    <phoneticPr fontId="5" type="noConversion"/>
  </si>
  <si>
    <t>정박.묘박</t>
    <phoneticPr fontId="5" type="noConversion"/>
  </si>
  <si>
    <t>㈜평택당진항
중앙부두</t>
    <phoneticPr fontId="5" type="noConversion"/>
  </si>
  <si>
    <t>태영그레인</t>
    <phoneticPr fontId="5" type="noConversion"/>
  </si>
  <si>
    <t>철강</t>
    <phoneticPr fontId="5" type="noConversion"/>
  </si>
  <si>
    <t>현대.삼표</t>
    <phoneticPr fontId="5" type="noConversion"/>
  </si>
  <si>
    <t>현대·삼표</t>
    <phoneticPr fontId="5" type="noConversion"/>
  </si>
  <si>
    <t>한일시멘트</t>
    <phoneticPr fontId="5" type="noConversion"/>
  </si>
  <si>
    <t>2,000(TEU)</t>
    <phoneticPr fontId="5" type="noConversion"/>
  </si>
  <si>
    <t>슬라그</t>
    <phoneticPr fontId="5" type="noConversion"/>
  </si>
  <si>
    <t>철광석</t>
    <phoneticPr fontId="5" type="noConversion"/>
  </si>
  <si>
    <t>석탄</t>
    <phoneticPr fontId="5" type="noConversion"/>
  </si>
  <si>
    <t>철재</t>
    <phoneticPr fontId="5" type="noConversion"/>
  </si>
  <si>
    <t>현대제철㈜
(국가부두)</t>
    <phoneticPr fontId="5" type="noConversion"/>
  </si>
  <si>
    <t>잡화,컨테이너</t>
    <phoneticPr fontId="5" type="noConversion"/>
  </si>
  <si>
    <t>국제1번</t>
    <phoneticPr fontId="5" type="noConversion"/>
  </si>
  <si>
    <t>국제2번</t>
    <phoneticPr fontId="5" type="noConversion"/>
  </si>
  <si>
    <t>㈜평택당진항만</t>
    <phoneticPr fontId="5" type="noConversion"/>
  </si>
  <si>
    <t>접안능력(DWT) </t>
    <phoneticPr fontId="5" type="noConversion"/>
  </si>
  <si>
    <t>석타</t>
    <phoneticPr fontId="5" type="noConversion"/>
  </si>
  <si>
    <t>현대제철㈜</t>
    <phoneticPr fontId="5" type="noConversion"/>
  </si>
  <si>
    <t>12-1</t>
    <phoneticPr fontId="5" type="noConversion"/>
  </si>
  <si>
    <t>잡화,벌크</t>
    <phoneticPr fontId="5" type="noConversion"/>
  </si>
  <si>
    <t>한시적:잡화</t>
    <phoneticPr fontId="5" type="noConversion"/>
  </si>
  <si>
    <t>기타</t>
  </si>
  <si>
    <t>동부두내항관리부잔교</t>
  </si>
  <si>
    <t>동부두 4번선석</t>
  </si>
  <si>
    <t>동부두 5번선석</t>
  </si>
  <si>
    <t>서부두 4번선석</t>
  </si>
  <si>
    <t>서부두 5번선석</t>
  </si>
  <si>
    <t>국제여객부두 3번선석</t>
  </si>
  <si>
    <t>영암정박지3</t>
  </si>
  <si>
    <t>영암정박지2</t>
  </si>
  <si>
    <t>영암정박지1</t>
  </si>
  <si>
    <t>모래부두 1</t>
  </si>
  <si>
    <t>송악부두12번통합선석</t>
  </si>
  <si>
    <t>송악부두 12번선석</t>
  </si>
  <si>
    <t>송악부두 8번선석</t>
  </si>
  <si>
    <t>송악부두 5번선석</t>
  </si>
  <si>
    <t>송악부두 14번선석</t>
  </si>
  <si>
    <t>고대부두 8번선석</t>
  </si>
  <si>
    <t>고대부두 7번선석</t>
  </si>
  <si>
    <t>고대부두 6번선석</t>
  </si>
  <si>
    <t>고대부두 5번선석</t>
  </si>
  <si>
    <t>고대부두 4번선석</t>
  </si>
  <si>
    <t>고대부두 3번선석</t>
  </si>
  <si>
    <t>서부두 3번선석</t>
  </si>
  <si>
    <t>서부두 9번선석</t>
  </si>
  <si>
    <t>서부두 8번선석</t>
  </si>
  <si>
    <t>동부두 2번선석</t>
  </si>
  <si>
    <t>서부두 2번선석</t>
  </si>
  <si>
    <t>당진고대지구관리부두</t>
  </si>
  <si>
    <t>동부두 16번선석</t>
  </si>
  <si>
    <t>동부두 15번선석</t>
  </si>
  <si>
    <t>송악부두 1번선석</t>
  </si>
  <si>
    <t>송악부두 2번선석</t>
  </si>
  <si>
    <t>송악부두 3번선석</t>
  </si>
  <si>
    <t>고대부두 9번선석</t>
  </si>
  <si>
    <t>동부두 14번선석</t>
  </si>
  <si>
    <t>서부두 1번선석</t>
  </si>
  <si>
    <t>송악부두 4번선석</t>
  </si>
  <si>
    <t>동부두 3번선석</t>
  </si>
  <si>
    <t>동부두 6번선석</t>
  </si>
  <si>
    <t>송악부두 7번선석</t>
  </si>
  <si>
    <t>서부두 4,5번선석</t>
  </si>
  <si>
    <t>동부두 4,5번선석</t>
  </si>
  <si>
    <t>동부두 7번선석</t>
  </si>
  <si>
    <t>동부두 8번선석</t>
  </si>
  <si>
    <t>송악부두 6번선석</t>
  </si>
  <si>
    <t>고대부두 2번선석</t>
  </si>
  <si>
    <t>국제여객부두 1번선석</t>
  </si>
  <si>
    <t>동부두 9번선석</t>
  </si>
  <si>
    <t>국제여객부두 2번선석</t>
  </si>
  <si>
    <t>한국가스공사 물양장</t>
  </si>
  <si>
    <t>군항부두 부잔교</t>
  </si>
  <si>
    <t>군항부두</t>
  </si>
  <si>
    <t>서부두 부잔교</t>
  </si>
  <si>
    <t>동부두 부잔교</t>
  </si>
  <si>
    <t>원정리 부잔교</t>
  </si>
  <si>
    <t>LNG 돌핀 2</t>
  </si>
  <si>
    <t>LPG 돌핀 2</t>
  </si>
  <si>
    <t>동부두 10번선석</t>
  </si>
  <si>
    <t>동부두 11번선석</t>
  </si>
  <si>
    <t>동부두 12번선석</t>
  </si>
  <si>
    <t>동부두 13번선석</t>
  </si>
  <si>
    <t>고대부두 1번선석</t>
  </si>
  <si>
    <t>송악부두 9번선석</t>
  </si>
  <si>
    <t>송악부두 10번선석</t>
  </si>
  <si>
    <t>서부두 6번선석</t>
  </si>
  <si>
    <t>서부두 7번선석</t>
  </si>
  <si>
    <t>SK LPG 돌핀</t>
  </si>
  <si>
    <t>기호돌핀</t>
  </si>
  <si>
    <t>관리현장 묘박지</t>
  </si>
  <si>
    <t>제4 정박구역</t>
  </si>
  <si>
    <t>제3 정박구역</t>
  </si>
  <si>
    <t>제2 정박구역</t>
  </si>
  <si>
    <t>방도정박지</t>
  </si>
  <si>
    <t>한전정박지</t>
  </si>
  <si>
    <t>도리도정박지</t>
  </si>
  <si>
    <t>입파도정박지</t>
  </si>
  <si>
    <t>장안서정박지</t>
  </si>
  <si>
    <t>한전 물양장</t>
  </si>
  <si>
    <t>한보 물양장</t>
  </si>
  <si>
    <t>관리부두 물량장2</t>
  </si>
  <si>
    <t>관리부두 물양장</t>
  </si>
  <si>
    <t>LNG 돌핀 1</t>
  </si>
  <si>
    <t>LPG 돌핀 1</t>
  </si>
  <si>
    <t>한전돌핀</t>
  </si>
  <si>
    <t>관리부두</t>
  </si>
  <si>
    <t>송악부두 11번선석</t>
  </si>
  <si>
    <t>%</t>
  </si>
  <si>
    <t>모든 부두</t>
  </si>
  <si>
    <t>현대글로비스</t>
    <phoneticPr fontId="5" type="noConversion"/>
  </si>
  <si>
    <t>동부두</t>
    <phoneticPr fontId="5" type="noConversion"/>
  </si>
  <si>
    <t>서부두</t>
    <phoneticPr fontId="5" type="noConversion"/>
  </si>
  <si>
    <t>고대부두</t>
    <phoneticPr fontId="5" type="noConversion"/>
  </si>
  <si>
    <t>송악부두</t>
    <phoneticPr fontId="5" type="noConversion"/>
  </si>
  <si>
    <t>돌핀부두</t>
    <phoneticPr fontId="5" type="noConversion"/>
  </si>
  <si>
    <t>수출입</t>
    <phoneticPr fontId="5" type="noConversion"/>
  </si>
  <si>
    <t>환적</t>
    <phoneticPr fontId="5" type="noConversion"/>
  </si>
  <si>
    <t>고대부두'</t>
    <phoneticPr fontId="5" type="noConversion"/>
  </si>
  <si>
    <t>모래부두</t>
    <phoneticPr fontId="5" type="noConversion"/>
  </si>
  <si>
    <t>pctc</t>
    <phoneticPr fontId="5" type="noConversion"/>
  </si>
  <si>
    <t>pnct</t>
    <phoneticPr fontId="5" type="noConversion"/>
  </si>
  <si>
    <t>관리부두 물양장</t>
    <phoneticPr fontId="5" type="noConversion"/>
  </si>
  <si>
    <t>한국가스공사 물양장</t>
    <phoneticPr fontId="5" type="noConversion"/>
  </si>
  <si>
    <t>국제3번</t>
    <phoneticPr fontId="5" type="noConversion"/>
  </si>
  <si>
    <t>플라스틱.고무 제품</t>
    <phoneticPr fontId="5" type="noConversion"/>
  </si>
  <si>
    <t>총계</t>
    <phoneticPr fontId="5" type="noConversion"/>
  </si>
  <si>
    <t>.</t>
    <phoneticPr fontId="5" type="noConversion"/>
  </si>
  <si>
    <t>처리실적</t>
    <phoneticPr fontId="5" type="noConversion"/>
  </si>
  <si>
    <t>동부두 1번선석</t>
    <phoneticPr fontId="5" type="noConversion"/>
  </si>
  <si>
    <t>육 류</t>
  </si>
  <si>
    <t>어패류.갑각류 등</t>
  </si>
  <si>
    <t>양 곡</t>
  </si>
  <si>
    <t>제분공업 생산품</t>
  </si>
  <si>
    <t>기타동.식물성 생산품</t>
  </si>
  <si>
    <t>당 류</t>
  </si>
  <si>
    <t>조제식품.음료.주류등</t>
  </si>
  <si>
    <t>모 래</t>
  </si>
  <si>
    <t>시멘트</t>
  </si>
  <si>
    <t>기타광석 및 생산품</t>
  </si>
  <si>
    <t>고 철</t>
  </si>
  <si>
    <t>철강 및 그제품</t>
  </si>
  <si>
    <t>석유 정제품</t>
  </si>
  <si>
    <t>석유가스 및 기타가스</t>
  </si>
  <si>
    <t>화학공업 생산품</t>
  </si>
  <si>
    <t>원 목</t>
  </si>
  <si>
    <t>목재.목탄.코르크 등</t>
  </si>
  <si>
    <t>비 료</t>
  </si>
  <si>
    <t>플라스틱.고무및 제품</t>
  </si>
  <si>
    <t>피혁류 및 그제품</t>
  </si>
  <si>
    <t>방직용섬유 및 그제품</t>
  </si>
  <si>
    <t>기 타</t>
  </si>
  <si>
    <t>차량 및 그부품</t>
  </si>
  <si>
    <t>항공기.선박 및 부품</t>
  </si>
  <si>
    <t>LPG 돌핀 2</t>
    <phoneticPr fontId="5" type="noConversion"/>
  </si>
  <si>
    <t>원유(역청유). 석유</t>
  </si>
  <si>
    <t>PIRT</t>
    <phoneticPr fontId="5" type="noConversion"/>
  </si>
  <si>
    <t>-</t>
    <phoneticPr fontId="5" type="noConversion"/>
  </si>
  <si>
    <t>-</t>
    <phoneticPr fontId="5" type="noConversion"/>
  </si>
  <si>
    <t>-</t>
    <phoneticPr fontId="5" type="noConversion"/>
  </si>
  <si>
    <t>세부부두별 현황</t>
    <phoneticPr fontId="5" type="noConversion"/>
  </si>
  <si>
    <t>(단위 : 척, 톤)</t>
    <phoneticPr fontId="5" type="noConversion"/>
  </si>
  <si>
    <r>
      <t xml:space="preserve"> [평택</t>
    </r>
    <r>
      <rPr>
        <sz val="18"/>
        <color rgb="FF000000"/>
        <rFont val="Calibri"/>
        <family val="1"/>
      </rPr>
      <t>·</t>
    </r>
    <r>
      <rPr>
        <sz val="18"/>
        <color indexed="8"/>
        <rFont val="HY헤드라인M"/>
        <family val="1"/>
        <charset val="129"/>
      </rPr>
      <t>당진항 총계]</t>
    </r>
    <phoneticPr fontId="5" type="noConversion"/>
  </si>
  <si>
    <t>선박입출항(a)</t>
    <phoneticPr fontId="5" type="noConversion"/>
  </si>
  <si>
    <t>○ 동부두</t>
    <phoneticPr fontId="5" type="noConversion"/>
  </si>
  <si>
    <t>○ 서부두</t>
    <phoneticPr fontId="5" type="noConversion"/>
  </si>
  <si>
    <t>○ 고대부두</t>
    <phoneticPr fontId="5" type="noConversion"/>
  </si>
  <si>
    <t>○ 송악부두</t>
    <phoneticPr fontId="5" type="noConversion"/>
  </si>
  <si>
    <t>○ 돌핀부두</t>
    <phoneticPr fontId="5" type="noConversion"/>
  </si>
  <si>
    <t>○ 모래부두</t>
    <phoneticPr fontId="5" type="noConversion"/>
  </si>
  <si>
    <r>
      <t>기아자동차
(</t>
    </r>
    <r>
      <rPr>
        <sz val="8"/>
        <color indexed="8"/>
        <rFont val="굴림"/>
        <family val="3"/>
        <charset val="129"/>
      </rPr>
      <t xml:space="preserve">운영:대주중공업
</t>
    </r>
    <r>
      <rPr>
        <sz val="9"/>
        <color indexed="8"/>
        <rFont val="굴림"/>
        <family val="3"/>
        <charset val="129"/>
      </rPr>
      <t>하역:대한통운)</t>
    </r>
    <phoneticPr fontId="5" type="noConversion"/>
  </si>
  <si>
    <t>㈜평택당진항만</t>
    <phoneticPr fontId="5" type="noConversion"/>
  </si>
  <si>
    <t xml:space="preserve"> [화물별 입출항 실적-재게]</t>
    <phoneticPr fontId="5" type="noConversion"/>
  </si>
  <si>
    <t>○ 서부두</t>
    <phoneticPr fontId="5" type="noConversion"/>
  </si>
  <si>
    <t>국제3번</t>
    <phoneticPr fontId="5" type="noConversion"/>
  </si>
  <si>
    <t>○ 고대부두</t>
    <phoneticPr fontId="5" type="noConversion"/>
  </si>
  <si>
    <t>○ 현대제철</t>
    <phoneticPr fontId="5" type="noConversion"/>
  </si>
  <si>
    <t>○ 돌핀부두</t>
    <phoneticPr fontId="5" type="noConversion"/>
  </si>
  <si>
    <t>○ 모래부두</t>
    <phoneticPr fontId="5" type="noConversion"/>
  </si>
  <si>
    <t>부두 운영주체별 현황</t>
    <phoneticPr fontId="5" type="noConversion"/>
  </si>
  <si>
    <t>□ 운영주체별 : 민간운영(사설)</t>
    <phoneticPr fontId="5" type="noConversion"/>
  </si>
  <si>
    <r>
      <t>기아자동차
(</t>
    </r>
    <r>
      <rPr>
        <sz val="8"/>
        <color indexed="8"/>
        <rFont val="굴림"/>
        <family val="3"/>
        <charset val="129"/>
      </rPr>
      <t xml:space="preserve">운영:대주중공업
</t>
    </r>
    <r>
      <rPr>
        <sz val="9"/>
        <color indexed="8"/>
        <rFont val="굴림"/>
        <family val="3"/>
        <charset val="129"/>
      </rPr>
      <t>하역:대한통운)</t>
    </r>
    <phoneticPr fontId="5" type="noConversion"/>
  </si>
  <si>
    <t>관리부두</t>
    <phoneticPr fontId="5" type="noConversion"/>
  </si>
  <si>
    <t>관리부두</t>
    <phoneticPr fontId="5" type="noConversion"/>
  </si>
  <si>
    <t xml:space="preserve"> </t>
    <phoneticPr fontId="5" type="noConversion"/>
  </si>
  <si>
    <t>LPG,
석유제품</t>
    <phoneticPr fontId="5" type="noConversion"/>
  </si>
  <si>
    <t>선박입출항
(c)</t>
    <phoneticPr fontId="5" type="noConversion"/>
  </si>
  <si>
    <t>국제여객부두 3번선석</t>
    <phoneticPr fontId="5" type="noConversion"/>
  </si>
  <si>
    <t>기타</t>
    <phoneticPr fontId="5" type="noConversion"/>
  </si>
  <si>
    <t>선박</t>
    <phoneticPr fontId="5" type="noConversion"/>
  </si>
  <si>
    <t>화물</t>
    <phoneticPr fontId="5" type="noConversion"/>
  </si>
  <si>
    <t>품목별 물동량</t>
    <phoneticPr fontId="5" type="noConversion"/>
  </si>
  <si>
    <t>(단위 : 척, 톤)</t>
    <phoneticPr fontId="5" type="noConversion"/>
  </si>
  <si>
    <t>(단위 : 톤)</t>
    <phoneticPr fontId="5" type="noConversion"/>
  </si>
  <si>
    <t>소 계</t>
    <phoneticPr fontId="5" type="noConversion"/>
  </si>
  <si>
    <t>소 계</t>
    <phoneticPr fontId="5" type="noConversion"/>
  </si>
  <si>
    <t>구    분</t>
    <phoneticPr fontId="5" type="noConversion"/>
  </si>
  <si>
    <t>합    계</t>
    <phoneticPr fontId="5" type="noConversion"/>
  </si>
  <si>
    <t>합   계</t>
    <phoneticPr fontId="5" type="noConversion"/>
  </si>
  <si>
    <t>소 계</t>
    <phoneticPr fontId="5" type="noConversion"/>
  </si>
  <si>
    <t>※ 2012년 19월준공</t>
    <phoneticPr fontId="5" type="noConversion"/>
  </si>
  <si>
    <t>시멘트</t>
    <phoneticPr fontId="5" type="noConversion"/>
  </si>
  <si>
    <t>모래</t>
    <phoneticPr fontId="5" type="noConversion"/>
  </si>
  <si>
    <t>25년도 실적</t>
    <phoneticPr fontId="5" type="noConversion"/>
  </si>
  <si>
    <t>'25년도</t>
    <phoneticPr fontId="5" type="noConversion"/>
  </si>
  <si>
    <t>'26년도</t>
    <phoneticPr fontId="5" type="noConversion"/>
  </si>
  <si>
    <t>'25누계</t>
    <phoneticPr fontId="5" type="noConversion"/>
  </si>
  <si>
    <t>무역항 등의 항만시설 사용료 규정</t>
    <phoneticPr fontId="5" type="noConversion"/>
  </si>
  <si>
    <t>-</t>
  </si>
  <si>
    <t xml:space="preserve">'25.5월 누계 </t>
    <phoneticPr fontId="5" type="noConversion"/>
  </si>
  <si>
    <t>항만운영 통계현황(5월)</t>
    <phoneticPr fontId="5" type="noConversion"/>
  </si>
  <si>
    <t>'26.5월 누계</t>
    <phoneticPr fontId="5" type="noConversion"/>
  </si>
  <si>
    <t>2025년 5월</t>
    <phoneticPr fontId="5" type="noConversion"/>
  </si>
  <si>
    <t>2026년 5월</t>
    <phoneticPr fontId="5" type="noConversion"/>
  </si>
  <si>
    <t>2025년 5월(누계)</t>
    <phoneticPr fontId="5" type="noConversion"/>
  </si>
  <si>
    <t>2026년 5월(누계)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</si>
</sst>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_-* #,##0.0_-;&quot;△&quot;\ #,##0.0_-;_-* &quot;-&quot;_-;_-@_-"/>
    <numFmt numFmtId="177" formatCode="0.0%"/>
    <numFmt numFmtId="178" formatCode="_-* #,##0.0_-;&quot;△&quot;\ #,##0.0_-;_-* &quot;-&quot;??_-;_-@_-"/>
    <numFmt numFmtId="179" formatCode="#,##0_ "/>
    <numFmt numFmtId="180" formatCode="&quot;$&quot;#,##0;[Red]\-&quot;$&quot;#,##0"/>
    <numFmt numFmtId="181" formatCode="&quot;$&quot;#,##0.00;[Red]\-&quot;$&quot;#,##0.00"/>
    <numFmt numFmtId="182" formatCode="_ * #,##0_ ;_ * &quot;₩&quot;&quot;₩&quot;&quot;₩&quot;&quot;₩&quot;&quot;₩&quot;&quot;₩&quot;\-#,##0_ ;_ * &quot;-&quot;_ ;_ @_ "/>
    <numFmt numFmtId="183" formatCode="#,###"/>
  </numFmts>
  <fonts count="3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5"/>
      <color indexed="8"/>
      <name val="HY헤드라인M"/>
      <family val="1"/>
      <charset val="129"/>
    </font>
    <font>
      <b/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9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24"/>
      <color indexed="8"/>
      <name val="HY헤드라인M"/>
      <family val="1"/>
      <charset val="129"/>
    </font>
    <font>
      <sz val="18"/>
      <color indexed="8"/>
      <name val="HY헤드라인M"/>
      <family val="1"/>
      <charset val="129"/>
    </font>
    <font>
      <b/>
      <sz val="10"/>
      <color indexed="8"/>
      <name val="휴먼엑스포"/>
      <family val="1"/>
      <charset val="129"/>
    </font>
    <font>
      <sz val="10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0"/>
      <name val="Geneva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indexed="8"/>
      <name val="맑은 고딕"/>
      <family val="2"/>
      <scheme val="minor"/>
    </font>
    <font>
      <sz val="18"/>
      <color rgb="FF000000"/>
      <name val="Calibri"/>
      <family val="1"/>
    </font>
    <font>
      <sz val="10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7"/>
      <color indexed="8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0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6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Dashed">
        <color rgb="FFB5C7D6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38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38" fontId="15" fillId="2" borderId="0" applyNumberFormat="0" applyBorder="0" applyAlignment="0" applyProtection="0"/>
    <xf numFmtId="10" fontId="15" fillId="3" borderId="1" applyNumberFormat="0" applyBorder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82" fontId="17" fillId="0" borderId="0"/>
    <xf numFmtId="0" fontId="14" fillId="0" borderId="0"/>
    <xf numFmtId="10" fontId="17" fillId="0" borderId="0" applyFont="0" applyFill="0" applyBorder="0" applyAlignment="0" applyProtection="0"/>
    <xf numFmtId="9" fontId="16" fillId="0" borderId="2" applyNumberFormat="0" applyBorder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/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399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3" fontId="8" fillId="0" borderId="0" xfId="0" applyNumberFormat="1" applyFont="1" applyAlignment="1">
      <alignment vertical="center"/>
    </xf>
    <xf numFmtId="176" fontId="7" fillId="0" borderId="0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horizontal="center" vertical="center" wrapText="1"/>
    </xf>
    <xf numFmtId="3" fontId="7" fillId="0" borderId="0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1" fillId="0" borderId="0" xfId="0" applyFont="1" applyBorder="1" applyAlignment="1">
      <alignment horizontal="center" vertical="center" wrapText="1"/>
    </xf>
    <xf numFmtId="177" fontId="11" fillId="0" borderId="0" xfId="0" applyNumberFormat="1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3" fontId="8" fillId="0" borderId="0" xfId="0" applyNumberFormat="1" applyFont="1" applyFill="1" applyAlignment="1">
      <alignment vertical="center"/>
    </xf>
    <xf numFmtId="3" fontId="7" fillId="0" borderId="0" xfId="0" applyNumberFormat="1" applyFont="1" applyFill="1" applyBorder="1" applyAlignment="1">
      <alignment horizontal="right" vertical="center" wrapText="1"/>
    </xf>
    <xf numFmtId="177" fontId="11" fillId="0" borderId="0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41" fontId="7" fillId="0" borderId="0" xfId="18" applyFont="1" applyBorder="1" applyAlignment="1">
      <alignment horizontal="center" vertical="center" wrapText="1"/>
    </xf>
    <xf numFmtId="3" fontId="7" fillId="0" borderId="0" xfId="0" applyNumberFormat="1" applyFont="1" applyBorder="1" applyAlignment="1">
      <alignment horizontal="right" vertical="center"/>
    </xf>
    <xf numFmtId="41" fontId="7" fillId="0" borderId="0" xfId="18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right" vertical="center"/>
    </xf>
    <xf numFmtId="0" fontId="21" fillId="5" borderId="12" xfId="0" applyFont="1" applyFill="1" applyBorder="1" applyAlignment="1">
      <alignment horizontal="right" vertical="center" wrapText="1"/>
    </xf>
    <xf numFmtId="0" fontId="22" fillId="5" borderId="0" xfId="0" applyFont="1" applyFill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13" fillId="7" borderId="0" xfId="0" applyFont="1" applyFill="1">
      <alignment vertical="center"/>
    </xf>
    <xf numFmtId="3" fontId="26" fillId="0" borderId="0" xfId="0" applyNumberFormat="1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8" fillId="0" borderId="0" xfId="0" applyNumberFormat="1" applyFont="1" applyAlignment="1">
      <alignment horizontal="left" vertical="center"/>
    </xf>
    <xf numFmtId="3" fontId="8" fillId="0" borderId="0" xfId="0" applyNumberFormat="1" applyFont="1" applyFill="1" applyAlignment="1">
      <alignment horizontal="left" vertical="center"/>
    </xf>
    <xf numFmtId="0" fontId="7" fillId="0" borderId="0" xfId="0" applyFont="1" applyBorder="1" applyAlignment="1">
      <alignment vertical="center" shrinkToFit="1"/>
    </xf>
    <xf numFmtId="41" fontId="12" fillId="0" borderId="0" xfId="18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shrinkToFit="1"/>
    </xf>
    <xf numFmtId="3" fontId="12" fillId="0" borderId="0" xfId="0" applyNumberFormat="1" applyFont="1" applyBorder="1" applyAlignment="1">
      <alignment horizontal="center" vertical="center" wrapText="1"/>
    </xf>
    <xf numFmtId="3" fontId="12" fillId="0" borderId="0" xfId="0" applyNumberFormat="1" applyFont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3" fontId="8" fillId="0" borderId="0" xfId="0" applyNumberFormat="1" applyFont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quotePrefix="1" applyFont="1" applyAlignment="1">
      <alignment horizontal="center" vertical="center"/>
    </xf>
    <xf numFmtId="3" fontId="7" fillId="0" borderId="0" xfId="0" applyNumberFormat="1" applyFont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8" fillId="0" borderId="0" xfId="0" applyFont="1" applyFill="1" applyAlignment="1">
      <alignment vertical="center"/>
    </xf>
    <xf numFmtId="0" fontId="13" fillId="0" borderId="0" xfId="0" applyFont="1" applyAlignment="1">
      <alignment horizontal="right" vertical="center"/>
    </xf>
    <xf numFmtId="176" fontId="12" fillId="0" borderId="13" xfId="0" applyNumberFormat="1" applyFont="1" applyBorder="1" applyAlignment="1">
      <alignment vertical="center"/>
    </xf>
    <xf numFmtId="0" fontId="12" fillId="0" borderId="13" xfId="0" applyFont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 wrapText="1"/>
    </xf>
    <xf numFmtId="3" fontId="7" fillId="8" borderId="13" xfId="0" applyNumberFormat="1" applyFont="1" applyFill="1" applyBorder="1" applyAlignment="1">
      <alignment horizontal="center" vertical="center" wrapText="1"/>
    </xf>
    <xf numFmtId="3" fontId="7" fillId="0" borderId="13" xfId="0" applyNumberFormat="1" applyFont="1" applyFill="1" applyBorder="1" applyAlignment="1">
      <alignment horizontal="right" vertical="center" wrapText="1"/>
    </xf>
    <xf numFmtId="3" fontId="7" fillId="0" borderId="13" xfId="0" applyNumberFormat="1" applyFont="1" applyBorder="1" applyAlignment="1">
      <alignment horizontal="right" vertical="center" wrapText="1"/>
    </xf>
    <xf numFmtId="176" fontId="7" fillId="0" borderId="13" xfId="0" applyNumberFormat="1" applyFont="1" applyBorder="1" applyAlignment="1">
      <alignment vertical="center"/>
    </xf>
    <xf numFmtId="3" fontId="7" fillId="0" borderId="13" xfId="0" applyNumberFormat="1" applyFont="1" applyBorder="1" applyAlignment="1">
      <alignment vertical="center" shrinkToFit="1"/>
    </xf>
    <xf numFmtId="3" fontId="7" fillId="0" borderId="13" xfId="0" applyNumberFormat="1" applyFont="1" applyFill="1" applyBorder="1" applyAlignment="1">
      <alignment vertical="center" shrinkToFit="1"/>
    </xf>
    <xf numFmtId="176" fontId="12" fillId="0" borderId="21" xfId="0" applyNumberFormat="1" applyFont="1" applyBorder="1" applyAlignment="1">
      <alignment vertical="center"/>
    </xf>
    <xf numFmtId="0" fontId="12" fillId="0" borderId="1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77" fontId="7" fillId="0" borderId="21" xfId="0" applyNumberFormat="1" applyFont="1" applyBorder="1" applyAlignment="1">
      <alignment horizontal="right" vertical="center" wrapText="1"/>
    </xf>
    <xf numFmtId="177" fontId="7" fillId="0" borderId="21" xfId="0" applyNumberFormat="1" applyFont="1" applyFill="1" applyBorder="1" applyAlignment="1">
      <alignment horizontal="right" vertical="center" wrapText="1"/>
    </xf>
    <xf numFmtId="176" fontId="7" fillId="0" borderId="21" xfId="0" applyNumberFormat="1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 wrapText="1"/>
    </xf>
    <xf numFmtId="177" fontId="19" fillId="8" borderId="17" xfId="0" applyNumberFormat="1" applyFont="1" applyFill="1" applyBorder="1" applyAlignment="1">
      <alignment horizontal="center" vertical="center" wrapText="1"/>
    </xf>
    <xf numFmtId="176" fontId="19" fillId="8" borderId="18" xfId="0" applyNumberFormat="1" applyFont="1" applyFill="1" applyBorder="1" applyAlignment="1">
      <alignment horizontal="center" vertical="center"/>
    </xf>
    <xf numFmtId="176" fontId="7" fillId="0" borderId="20" xfId="0" applyNumberFormat="1" applyFont="1" applyBorder="1" applyAlignment="1">
      <alignment vertical="center" shrinkToFit="1"/>
    </xf>
    <xf numFmtId="178" fontId="7" fillId="0" borderId="21" xfId="0" applyNumberFormat="1" applyFont="1" applyBorder="1" applyAlignment="1">
      <alignment vertical="center" wrapText="1"/>
    </xf>
    <xf numFmtId="178" fontId="7" fillId="0" borderId="21" xfId="0" applyNumberFormat="1" applyFont="1" applyFill="1" applyBorder="1" applyAlignment="1">
      <alignment horizontal="right" vertical="center" wrapText="1"/>
    </xf>
    <xf numFmtId="176" fontId="7" fillId="0" borderId="14" xfId="0" applyNumberFormat="1" applyFont="1" applyBorder="1" applyAlignment="1">
      <alignment vertical="center"/>
    </xf>
    <xf numFmtId="3" fontId="24" fillId="8" borderId="13" xfId="0" applyNumberFormat="1" applyFont="1" applyFill="1" applyBorder="1" applyAlignment="1">
      <alignment horizontal="center" vertical="center" wrapText="1"/>
    </xf>
    <xf numFmtId="3" fontId="23" fillId="8" borderId="13" xfId="0" applyNumberFormat="1" applyFont="1" applyFill="1" applyBorder="1" applyAlignment="1">
      <alignment horizontal="center" vertical="center" wrapText="1"/>
    </xf>
    <xf numFmtId="3" fontId="7" fillId="0" borderId="21" xfId="0" applyNumberFormat="1" applyFont="1" applyFill="1" applyBorder="1" applyAlignment="1">
      <alignment horizontal="right" vertical="center" wrapText="1"/>
    </xf>
    <xf numFmtId="3" fontId="24" fillId="0" borderId="21" xfId="0" applyNumberFormat="1" applyFont="1" applyFill="1" applyBorder="1" applyAlignment="1">
      <alignment horizontal="right" vertical="center" wrapText="1"/>
    </xf>
    <xf numFmtId="0" fontId="7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41" fontId="12" fillId="0" borderId="13" xfId="18" applyFont="1" applyBorder="1" applyAlignment="1">
      <alignment horizontal="center" vertical="center" shrinkToFit="1"/>
    </xf>
    <xf numFmtId="0" fontId="30" fillId="0" borderId="13" xfId="0" applyFont="1" applyBorder="1" applyAlignment="1">
      <alignment horizontal="center" vertical="center" wrapText="1"/>
    </xf>
    <xf numFmtId="41" fontId="12" fillId="0" borderId="13" xfId="18" applyFont="1" applyFill="1" applyBorder="1" applyAlignment="1">
      <alignment vertical="center"/>
    </xf>
    <xf numFmtId="3" fontId="12" fillId="0" borderId="13" xfId="0" applyNumberFormat="1" applyFont="1" applyBorder="1" applyAlignment="1">
      <alignment horizontal="center" vertical="center" shrinkToFit="1"/>
    </xf>
    <xf numFmtId="176" fontId="12" fillId="0" borderId="13" xfId="0" applyNumberFormat="1" applyFont="1" applyBorder="1" applyAlignment="1">
      <alignment horizontal="right" vertical="center"/>
    </xf>
    <xf numFmtId="0" fontId="12" fillId="0" borderId="13" xfId="0" applyFont="1" applyBorder="1" applyAlignment="1">
      <alignment horizontal="center" vertical="center" shrinkToFit="1"/>
    </xf>
    <xf numFmtId="3" fontId="12" fillId="0" borderId="13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horizontal="center" vertical="center" wrapText="1"/>
    </xf>
    <xf numFmtId="3" fontId="31" fillId="0" borderId="13" xfId="0" applyNumberFormat="1" applyFont="1" applyBorder="1" applyAlignment="1">
      <alignment horizontal="center" vertical="center" wrapText="1"/>
    </xf>
    <xf numFmtId="41" fontId="7" fillId="0" borderId="13" xfId="18" applyFont="1" applyBorder="1" applyAlignment="1">
      <alignment horizontal="center" vertical="center" shrinkToFit="1"/>
    </xf>
    <xf numFmtId="41" fontId="12" fillId="0" borderId="13" xfId="0" applyNumberFormat="1" applyFont="1" applyFill="1" applyBorder="1" applyAlignment="1">
      <alignment vertical="center" wrapText="1"/>
    </xf>
    <xf numFmtId="41" fontId="12" fillId="0" borderId="13" xfId="0" applyNumberFormat="1" applyFont="1" applyFill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vertical="center"/>
    </xf>
    <xf numFmtId="41" fontId="12" fillId="0" borderId="13" xfId="0" applyNumberFormat="1" applyFont="1" applyBorder="1" applyAlignment="1">
      <alignment horizontal="right" vertical="center"/>
    </xf>
    <xf numFmtId="0" fontId="0" fillId="0" borderId="13" xfId="0" applyFont="1" applyBorder="1">
      <alignment vertical="center"/>
    </xf>
    <xf numFmtId="0" fontId="13" fillId="0" borderId="13" xfId="0" applyFont="1" applyBorder="1">
      <alignment vertical="center"/>
    </xf>
    <xf numFmtId="41" fontId="13" fillId="0" borderId="13" xfId="18" applyFont="1" applyBorder="1" applyAlignment="1">
      <alignment horizontal="right" vertical="center"/>
    </xf>
    <xf numFmtId="3" fontId="13" fillId="0" borderId="13" xfId="18" applyNumberFormat="1" applyFont="1" applyBorder="1" applyAlignment="1">
      <alignment horizontal="right" vertical="center"/>
    </xf>
    <xf numFmtId="0" fontId="0" fillId="0" borderId="13" xfId="0" applyFont="1" applyFill="1" applyBorder="1">
      <alignment vertical="center"/>
    </xf>
    <xf numFmtId="0" fontId="13" fillId="0" borderId="13" xfId="0" applyFont="1" applyFill="1" applyBorder="1">
      <alignment vertical="center"/>
    </xf>
    <xf numFmtId="179" fontId="13" fillId="0" borderId="13" xfId="0" applyNumberFormat="1" applyFont="1" applyBorder="1">
      <alignment vertical="center"/>
    </xf>
    <xf numFmtId="9" fontId="13" fillId="0" borderId="13" xfId="15" applyFont="1" applyBorder="1">
      <alignment vertical="center"/>
    </xf>
    <xf numFmtId="179" fontId="0" fillId="0" borderId="13" xfId="0" applyNumberFormat="1" applyFont="1" applyBorder="1">
      <alignment vertical="center"/>
    </xf>
    <xf numFmtId="0" fontId="7" fillId="0" borderId="19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vertical="center"/>
    </xf>
    <xf numFmtId="41" fontId="12" fillId="0" borderId="20" xfId="18" applyFont="1" applyBorder="1" applyAlignment="1">
      <alignment vertical="center" shrinkToFit="1"/>
    </xf>
    <xf numFmtId="0" fontId="12" fillId="0" borderId="15" xfId="0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horizontal="center" vertical="center" shrinkToFit="1"/>
    </xf>
    <xf numFmtId="0" fontId="12" fillId="0" borderId="21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41" fontId="12" fillId="0" borderId="21" xfId="18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41" fontId="12" fillId="0" borderId="21" xfId="18" applyFont="1" applyBorder="1" applyAlignment="1">
      <alignment horizontal="center" vertical="center" shrinkToFit="1"/>
    </xf>
    <xf numFmtId="0" fontId="12" fillId="0" borderId="15" xfId="0" applyNumberFormat="1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3" fontId="24" fillId="8" borderId="23" xfId="0" applyNumberFormat="1" applyFont="1" applyFill="1" applyBorder="1" applyAlignment="1">
      <alignment horizontal="center" vertical="center" wrapText="1"/>
    </xf>
    <xf numFmtId="3" fontId="7" fillId="8" borderId="23" xfId="0" applyNumberFormat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41" fontId="12" fillId="0" borderId="26" xfId="18" applyFont="1" applyBorder="1" applyAlignment="1">
      <alignment horizontal="center" vertical="center" shrinkToFit="1"/>
    </xf>
    <xf numFmtId="0" fontId="30" fillId="0" borderId="2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176" fontId="12" fillId="0" borderId="26" xfId="0" applyNumberFormat="1" applyFont="1" applyBorder="1" applyAlignment="1">
      <alignment vertical="center"/>
    </xf>
    <xf numFmtId="0" fontId="12" fillId="0" borderId="27" xfId="0" applyFont="1" applyBorder="1" applyAlignment="1">
      <alignment vertical="center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3" fontId="7" fillId="0" borderId="29" xfId="0" applyNumberFormat="1" applyFont="1" applyBorder="1" applyAlignment="1">
      <alignment horizontal="right" vertical="center" wrapText="1"/>
    </xf>
    <xf numFmtId="176" fontId="7" fillId="0" borderId="29" xfId="0" applyNumberFormat="1" applyFont="1" applyBorder="1" applyAlignment="1">
      <alignment vertical="center"/>
    </xf>
    <xf numFmtId="0" fontId="7" fillId="0" borderId="3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3" fontId="7" fillId="0" borderId="29" xfId="0" applyNumberFormat="1" applyFont="1" applyFill="1" applyBorder="1" applyAlignment="1">
      <alignment horizontal="right" vertical="center" wrapText="1"/>
    </xf>
    <xf numFmtId="176" fontId="12" fillId="0" borderId="26" xfId="0" applyNumberFormat="1" applyFont="1" applyBorder="1" applyAlignment="1">
      <alignment horizontal="right" vertical="center"/>
    </xf>
    <xf numFmtId="0" fontId="7" fillId="0" borderId="29" xfId="0" applyFont="1" applyBorder="1" applyAlignment="1">
      <alignment horizontal="center" vertical="center" shrinkToFit="1"/>
    </xf>
    <xf numFmtId="41" fontId="7" fillId="0" borderId="29" xfId="18" applyFont="1" applyFill="1" applyBorder="1" applyAlignment="1">
      <alignment horizontal="right" vertical="center" wrapText="1"/>
    </xf>
    <xf numFmtId="0" fontId="7" fillId="0" borderId="30" xfId="0" applyFont="1" applyBorder="1" applyAlignment="1">
      <alignment horizontal="center" vertical="center" shrinkToFit="1"/>
    </xf>
    <xf numFmtId="0" fontId="30" fillId="0" borderId="20" xfId="0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vertical="center"/>
    </xf>
    <xf numFmtId="176" fontId="12" fillId="0" borderId="21" xfId="0" applyNumberFormat="1" applyFont="1" applyBorder="1" applyAlignment="1">
      <alignment horizontal="right" vertical="center"/>
    </xf>
    <xf numFmtId="0" fontId="12" fillId="0" borderId="14" xfId="0" applyFont="1" applyBorder="1" applyAlignment="1">
      <alignment vertical="center" shrinkToFit="1"/>
    </xf>
    <xf numFmtId="0" fontId="7" fillId="0" borderId="20" xfId="0" applyFont="1" applyBorder="1" applyAlignment="1">
      <alignment vertical="center"/>
    </xf>
    <xf numFmtId="0" fontId="7" fillId="0" borderId="15" xfId="0" applyFont="1" applyBorder="1" applyAlignment="1">
      <alignment horizontal="center" vertical="center" wrapText="1"/>
    </xf>
    <xf numFmtId="41" fontId="7" fillId="0" borderId="21" xfId="18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/>
    </xf>
    <xf numFmtId="0" fontId="12" fillId="0" borderId="21" xfId="0" applyFont="1" applyBorder="1" applyAlignment="1">
      <alignment horizontal="center" vertical="center" shrinkToFit="1"/>
    </xf>
    <xf numFmtId="41" fontId="12" fillId="0" borderId="21" xfId="0" applyNumberFormat="1" applyFont="1" applyFill="1" applyBorder="1" applyAlignment="1">
      <alignment vertical="center" wrapText="1"/>
    </xf>
    <xf numFmtId="41" fontId="12" fillId="0" borderId="21" xfId="0" applyNumberFormat="1" applyFont="1" applyFill="1" applyBorder="1" applyAlignment="1">
      <alignment horizontal="right" vertical="center" wrapText="1"/>
    </xf>
    <xf numFmtId="3" fontId="12" fillId="0" borderId="21" xfId="0" applyNumberFormat="1" applyFont="1" applyBorder="1" applyAlignment="1">
      <alignment horizontal="right" vertical="center" wrapText="1"/>
    </xf>
    <xf numFmtId="0" fontId="12" fillId="0" borderId="0" xfId="0" applyFont="1" applyBorder="1" applyAlignment="1">
      <alignment vertical="center" shrinkToFit="1"/>
    </xf>
    <xf numFmtId="0" fontId="0" fillId="0" borderId="0" xfId="0" applyBorder="1">
      <alignment vertical="center"/>
    </xf>
    <xf numFmtId="3" fontId="7" fillId="0" borderId="21" xfId="0" applyNumberFormat="1" applyFont="1" applyBorder="1" applyAlignment="1">
      <alignment horizontal="right" vertical="center" wrapText="1"/>
    </xf>
    <xf numFmtId="176" fontId="7" fillId="0" borderId="21" xfId="0" applyNumberFormat="1" applyFont="1" applyBorder="1" applyAlignment="1">
      <alignment horizontal="right" vertical="center"/>
    </xf>
    <xf numFmtId="3" fontId="12" fillId="0" borderId="21" xfId="0" applyNumberFormat="1" applyFont="1" applyBorder="1" applyAlignment="1">
      <alignment horizontal="right" vertical="center"/>
    </xf>
    <xf numFmtId="41" fontId="12" fillId="0" borderId="21" xfId="0" applyNumberFormat="1" applyFont="1" applyBorder="1" applyAlignment="1">
      <alignment horizontal="right" vertical="center"/>
    </xf>
    <xf numFmtId="0" fontId="0" fillId="0" borderId="19" xfId="0" applyFont="1" applyBorder="1">
      <alignment vertical="center"/>
    </xf>
    <xf numFmtId="41" fontId="13" fillId="0" borderId="20" xfId="18" applyFont="1" applyBorder="1" applyAlignment="1">
      <alignment horizontal="right" vertical="center"/>
    </xf>
    <xf numFmtId="0" fontId="0" fillId="0" borderId="19" xfId="0" applyFont="1" applyBorder="1" applyAlignment="1">
      <alignment vertical="center"/>
    </xf>
    <xf numFmtId="0" fontId="0" fillId="0" borderId="15" xfId="0" applyFont="1" applyBorder="1">
      <alignment vertical="center"/>
    </xf>
    <xf numFmtId="0" fontId="0" fillId="0" borderId="21" xfId="0" applyFont="1" applyBorder="1">
      <alignment vertical="center"/>
    </xf>
    <xf numFmtId="0" fontId="13" fillId="7" borderId="31" xfId="0" applyFont="1" applyFill="1" applyBorder="1" applyAlignment="1">
      <alignment horizontal="center" vertical="center"/>
    </xf>
    <xf numFmtId="0" fontId="13" fillId="7" borderId="32" xfId="0" applyFont="1" applyFill="1" applyBorder="1" applyAlignment="1">
      <alignment horizontal="center" vertical="center"/>
    </xf>
    <xf numFmtId="0" fontId="25" fillId="7" borderId="32" xfId="0" applyFont="1" applyFill="1" applyBorder="1" applyAlignment="1">
      <alignment horizontal="center" vertical="center"/>
    </xf>
    <xf numFmtId="0" fontId="25" fillId="7" borderId="33" xfId="0" applyFont="1" applyFill="1" applyBorder="1" applyAlignment="1">
      <alignment horizontal="center" vertical="center"/>
    </xf>
    <xf numFmtId="0" fontId="0" fillId="0" borderId="25" xfId="0" applyFont="1" applyBorder="1">
      <alignment vertical="center"/>
    </xf>
    <xf numFmtId="0" fontId="13" fillId="0" borderId="26" xfId="0" applyFont="1" applyBorder="1">
      <alignment vertical="center"/>
    </xf>
    <xf numFmtId="41" fontId="13" fillId="0" borderId="26" xfId="18" applyFont="1" applyBorder="1" applyAlignment="1">
      <alignment horizontal="right" vertical="center"/>
    </xf>
    <xf numFmtId="3" fontId="13" fillId="0" borderId="26" xfId="18" applyNumberFormat="1" applyFont="1" applyBorder="1" applyAlignment="1">
      <alignment horizontal="right" vertical="center"/>
    </xf>
    <xf numFmtId="41" fontId="13" fillId="0" borderId="27" xfId="18" applyFont="1" applyBorder="1" applyAlignment="1">
      <alignment horizontal="right" vertical="center"/>
    </xf>
    <xf numFmtId="0" fontId="0" fillId="7" borderId="28" xfId="0" applyFont="1" applyFill="1" applyBorder="1" applyAlignment="1">
      <alignment horizontal="center" vertical="center"/>
    </xf>
    <xf numFmtId="0" fontId="13" fillId="7" borderId="29" xfId="0" applyFont="1" applyFill="1" applyBorder="1">
      <alignment vertical="center"/>
    </xf>
    <xf numFmtId="41" fontId="13" fillId="7" borderId="29" xfId="18" applyFont="1" applyFill="1" applyBorder="1" applyAlignment="1">
      <alignment horizontal="right" vertical="center"/>
    </xf>
    <xf numFmtId="41" fontId="13" fillId="7" borderId="30" xfId="18" applyFont="1" applyFill="1" applyBorder="1" applyAlignment="1">
      <alignment horizontal="right" vertical="center"/>
    </xf>
    <xf numFmtId="9" fontId="13" fillId="0" borderId="20" xfId="15" applyFont="1" applyBorder="1">
      <alignment vertical="center"/>
    </xf>
    <xf numFmtId="179" fontId="0" fillId="0" borderId="21" xfId="0" applyNumberFormat="1" applyFont="1" applyBorder="1">
      <alignment vertical="center"/>
    </xf>
    <xf numFmtId="179" fontId="13" fillId="0" borderId="21" xfId="0" applyNumberFormat="1" applyFont="1" applyBorder="1">
      <alignment vertical="center"/>
    </xf>
    <xf numFmtId="9" fontId="13" fillId="0" borderId="21" xfId="15" applyFont="1" applyBorder="1">
      <alignment vertical="center"/>
    </xf>
    <xf numFmtId="9" fontId="13" fillId="0" borderId="14" xfId="15" applyFont="1" applyBorder="1">
      <alignment vertical="center"/>
    </xf>
    <xf numFmtId="0" fontId="13" fillId="7" borderId="33" xfId="0" applyFont="1" applyFill="1" applyBorder="1" applyAlignment="1">
      <alignment horizontal="center" vertical="center"/>
    </xf>
    <xf numFmtId="179" fontId="13" fillId="0" borderId="26" xfId="0" applyNumberFormat="1" applyFont="1" applyBorder="1">
      <alignment vertical="center"/>
    </xf>
    <xf numFmtId="9" fontId="13" fillId="0" borderId="26" xfId="15" applyFont="1" applyBorder="1">
      <alignment vertical="center"/>
    </xf>
    <xf numFmtId="9" fontId="13" fillId="0" borderId="27" xfId="15" applyFont="1" applyBorder="1">
      <alignment vertical="center"/>
    </xf>
    <xf numFmtId="179" fontId="13" fillId="7" borderId="29" xfId="0" applyNumberFormat="1" applyFont="1" applyFill="1" applyBorder="1">
      <alignment vertical="center"/>
    </xf>
    <xf numFmtId="9" fontId="13" fillId="7" borderId="29" xfId="15" applyFont="1" applyFill="1" applyBorder="1">
      <alignment vertical="center"/>
    </xf>
    <xf numFmtId="9" fontId="13" fillId="7" borderId="30" xfId="15" applyFont="1" applyFill="1" applyBorder="1">
      <alignment vertical="center"/>
    </xf>
    <xf numFmtId="3" fontId="12" fillId="0" borderId="26" xfId="0" applyNumberFormat="1" applyFont="1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3" fontId="7" fillId="11" borderId="23" xfId="0" applyNumberFormat="1" applyFont="1" applyFill="1" applyBorder="1" applyAlignment="1">
      <alignment horizontal="center" vertical="center" wrapText="1"/>
    </xf>
    <xf numFmtId="3" fontId="12" fillId="0" borderId="26" xfId="0" applyNumberFormat="1" applyFont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41" fontId="12" fillId="0" borderId="26" xfId="18" applyFont="1" applyFill="1" applyBorder="1" applyAlignment="1">
      <alignment vertical="center" wrapText="1"/>
    </xf>
    <xf numFmtId="0" fontId="12" fillId="0" borderId="26" xfId="0" applyFont="1" applyFill="1" applyBorder="1" applyAlignment="1">
      <alignment horizontal="center" vertical="center" wrapText="1"/>
    </xf>
    <xf numFmtId="41" fontId="12" fillId="0" borderId="26" xfId="0" applyNumberFormat="1" applyFont="1" applyFill="1" applyBorder="1" applyAlignment="1">
      <alignment vertical="center" wrapText="1"/>
    </xf>
    <xf numFmtId="41" fontId="12" fillId="0" borderId="26" xfId="0" applyNumberFormat="1" applyFont="1" applyFill="1" applyBorder="1" applyAlignment="1">
      <alignment horizontal="right" vertical="center" wrapText="1"/>
    </xf>
    <xf numFmtId="0" fontId="12" fillId="0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3" fontId="7" fillId="4" borderId="29" xfId="0" applyNumberFormat="1" applyFont="1" applyFill="1" applyBorder="1" applyAlignment="1">
      <alignment horizontal="right" vertical="center" wrapText="1"/>
    </xf>
    <xf numFmtId="0" fontId="7" fillId="4" borderId="30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 wrapText="1"/>
    </xf>
    <xf numFmtId="3" fontId="7" fillId="0" borderId="29" xfId="0" applyNumberFormat="1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3" fontId="12" fillId="0" borderId="26" xfId="0" applyNumberFormat="1" applyFont="1" applyBorder="1" applyAlignment="1">
      <alignment horizontal="right" vertical="center" wrapText="1"/>
    </xf>
    <xf numFmtId="0" fontId="7" fillId="0" borderId="25" xfId="0" applyFont="1" applyBorder="1" applyAlignment="1">
      <alignment horizontal="center" vertical="center" wrapText="1"/>
    </xf>
    <xf numFmtId="41" fontId="7" fillId="0" borderId="26" xfId="18" applyFont="1" applyBorder="1" applyAlignment="1">
      <alignment horizontal="center" vertical="center" shrinkToFi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3" fontId="12" fillId="0" borderId="26" xfId="0" applyNumberFormat="1" applyFont="1" applyBorder="1" applyAlignment="1">
      <alignment horizontal="right" vertical="center"/>
    </xf>
    <xf numFmtId="3" fontId="7" fillId="11" borderId="13" xfId="0" applyNumberFormat="1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176" fontId="12" fillId="0" borderId="36" xfId="0" applyNumberFormat="1" applyFont="1" applyBorder="1" applyAlignment="1">
      <alignment horizontal="right" vertical="center"/>
    </xf>
    <xf numFmtId="0" fontId="12" fillId="0" borderId="3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41" fontId="13" fillId="0" borderId="38" xfId="18" applyFont="1" applyBorder="1" applyAlignment="1">
      <alignment horizontal="right" vertical="center"/>
    </xf>
    <xf numFmtId="41" fontId="13" fillId="0" borderId="39" xfId="18" applyFont="1" applyBorder="1" applyAlignment="1">
      <alignment horizontal="right" vertical="center"/>
    </xf>
    <xf numFmtId="176" fontId="12" fillId="0" borderId="36" xfId="0" applyNumberFormat="1" applyFont="1" applyBorder="1" applyAlignment="1">
      <alignment vertical="center"/>
    </xf>
    <xf numFmtId="41" fontId="9" fillId="0" borderId="0" xfId="18" applyFont="1" applyFill="1" applyBorder="1" applyAlignment="1">
      <alignment horizontal="center" vertical="center"/>
    </xf>
    <xf numFmtId="41" fontId="7" fillId="8" borderId="23" xfId="18" applyFont="1" applyFill="1" applyBorder="1" applyAlignment="1">
      <alignment horizontal="center" vertical="center" wrapText="1"/>
    </xf>
    <xf numFmtId="41" fontId="7" fillId="0" borderId="29" xfId="18" applyFont="1" applyBorder="1" applyAlignment="1">
      <alignment horizontal="right" vertical="center" wrapText="1"/>
    </xf>
    <xf numFmtId="41" fontId="12" fillId="0" borderId="13" xfId="18" applyFont="1" applyBorder="1" applyAlignment="1">
      <alignment vertical="center"/>
    </xf>
    <xf numFmtId="41" fontId="12" fillId="0" borderId="36" xfId="18" applyFont="1" applyBorder="1" applyAlignment="1">
      <alignment vertical="center"/>
    </xf>
    <xf numFmtId="41" fontId="0" fillId="0" borderId="0" xfId="18" applyFont="1">
      <alignment vertical="center"/>
    </xf>
    <xf numFmtId="41" fontId="8" fillId="0" borderId="0" xfId="18" applyFont="1" applyAlignment="1">
      <alignment vertical="center"/>
    </xf>
    <xf numFmtId="41" fontId="24" fillId="8" borderId="23" xfId="18" applyFont="1" applyFill="1" applyBorder="1" applyAlignment="1">
      <alignment horizontal="center" vertical="center" wrapText="1"/>
    </xf>
    <xf numFmtId="41" fontId="33" fillId="0" borderId="34" xfId="18" applyFont="1" applyFill="1" applyBorder="1" applyAlignment="1">
      <alignment horizontal="right" vertical="center"/>
    </xf>
    <xf numFmtId="41" fontId="7" fillId="0" borderId="0" xfId="18" applyFont="1" applyBorder="1" applyAlignment="1">
      <alignment horizontal="right" vertical="center"/>
    </xf>
    <xf numFmtId="3" fontId="9" fillId="0" borderId="0" xfId="18" applyNumberFormat="1" applyFont="1" applyFill="1" applyBorder="1" applyAlignment="1">
      <alignment horizontal="center" vertical="center"/>
    </xf>
    <xf numFmtId="3" fontId="8" fillId="0" borderId="0" xfId="18" applyNumberFormat="1" applyFont="1" applyFill="1" applyAlignment="1">
      <alignment vertical="center"/>
    </xf>
    <xf numFmtId="3" fontId="7" fillId="8" borderId="23" xfId="18" applyNumberFormat="1" applyFont="1" applyFill="1" applyBorder="1" applyAlignment="1">
      <alignment horizontal="center" vertical="center" wrapText="1"/>
    </xf>
    <xf numFmtId="3" fontId="7" fillId="0" borderId="29" xfId="18" applyNumberFormat="1" applyFont="1" applyFill="1" applyBorder="1" applyAlignment="1">
      <alignment horizontal="right" vertical="center" wrapText="1"/>
    </xf>
    <xf numFmtId="3" fontId="7" fillId="0" borderId="0" xfId="18" applyNumberFormat="1" applyFont="1" applyFill="1" applyBorder="1" applyAlignment="1">
      <alignment horizontal="right" vertical="center"/>
    </xf>
    <xf numFmtId="3" fontId="0" fillId="0" borderId="0" xfId="18" applyNumberFormat="1" applyFont="1">
      <alignment vertical="center"/>
    </xf>
    <xf numFmtId="183" fontId="9" fillId="0" borderId="0" xfId="18" applyNumberFormat="1" applyFont="1" applyFill="1" applyBorder="1" applyAlignment="1">
      <alignment horizontal="center" vertical="center"/>
    </xf>
    <xf numFmtId="183" fontId="8" fillId="0" borderId="0" xfId="18" applyNumberFormat="1" applyFont="1" applyFill="1" applyAlignment="1">
      <alignment vertical="center"/>
    </xf>
    <xf numFmtId="183" fontId="26" fillId="0" borderId="0" xfId="18" applyNumberFormat="1" applyFont="1" applyFill="1" applyAlignment="1">
      <alignment vertical="center"/>
    </xf>
    <xf numFmtId="183" fontId="7" fillId="8" borderId="23" xfId="18" applyNumberFormat="1" applyFont="1" applyFill="1" applyBorder="1" applyAlignment="1">
      <alignment horizontal="center" vertical="center" wrapText="1"/>
    </xf>
    <xf numFmtId="183" fontId="7" fillId="0" borderId="29" xfId="18" applyNumberFormat="1" applyFont="1" applyBorder="1" applyAlignment="1">
      <alignment horizontal="right" vertical="center" wrapText="1"/>
    </xf>
    <xf numFmtId="183" fontId="33" fillId="0" borderId="26" xfId="18" applyNumberFormat="1" applyFont="1" applyFill="1" applyBorder="1" applyAlignment="1">
      <alignment horizontal="right" vertical="center"/>
    </xf>
    <xf numFmtId="183" fontId="7" fillId="0" borderId="29" xfId="18" applyNumberFormat="1" applyFont="1" applyFill="1" applyBorder="1" applyAlignment="1">
      <alignment horizontal="right" vertical="center" wrapText="1"/>
    </xf>
    <xf numFmtId="183" fontId="7" fillId="0" borderId="0" xfId="18" applyNumberFormat="1" applyFont="1" applyFill="1" applyBorder="1" applyAlignment="1">
      <alignment horizontal="right" vertical="center"/>
    </xf>
    <xf numFmtId="183" fontId="0" fillId="0" borderId="0" xfId="18" applyNumberFormat="1" applyFont="1">
      <alignment vertical="center"/>
    </xf>
    <xf numFmtId="183" fontId="33" fillId="0" borderId="40" xfId="18" applyNumberFormat="1" applyFont="1" applyFill="1" applyBorder="1" applyAlignment="1">
      <alignment horizontal="right" vertical="center"/>
    </xf>
    <xf numFmtId="176" fontId="12" fillId="0" borderId="38" xfId="0" applyNumberFormat="1" applyFont="1" applyBorder="1" applyAlignment="1">
      <alignment vertical="center"/>
    </xf>
    <xf numFmtId="183" fontId="33" fillId="0" borderId="41" xfId="18" applyNumberFormat="1" applyFont="1" applyFill="1" applyBorder="1" applyAlignment="1">
      <alignment horizontal="right" vertical="center"/>
    </xf>
    <xf numFmtId="176" fontId="12" fillId="0" borderId="42" xfId="0" applyNumberFormat="1" applyFont="1" applyBorder="1" applyAlignment="1">
      <alignment vertical="center"/>
    </xf>
    <xf numFmtId="3" fontId="7" fillId="0" borderId="43" xfId="18" applyNumberFormat="1" applyFont="1" applyBorder="1" applyAlignment="1">
      <alignment horizontal="right" vertical="center" wrapText="1"/>
    </xf>
    <xf numFmtId="41" fontId="34" fillId="0" borderId="44" xfId="0" applyNumberFormat="1" applyFont="1" applyBorder="1" applyAlignment="1">
      <alignment horizontal="center" vertical="center"/>
    </xf>
    <xf numFmtId="3" fontId="27" fillId="0" borderId="13" xfId="27" applyNumberFormat="1" applyBorder="1">
      <alignment vertical="center"/>
    </xf>
    <xf numFmtId="3" fontId="7" fillId="0" borderId="43" xfId="18" applyNumberFormat="1" applyFont="1" applyFill="1" applyBorder="1" applyAlignment="1">
      <alignment horizontal="right" vertical="center" wrapText="1"/>
    </xf>
    <xf numFmtId="3" fontId="29" fillId="0" borderId="13" xfId="18" applyNumberFormat="1" applyFont="1" applyFill="1" applyBorder="1" applyAlignment="1">
      <alignment horizontal="right" vertical="center"/>
    </xf>
    <xf numFmtId="176" fontId="12" fillId="0" borderId="13" xfId="0" applyNumberFormat="1" applyFont="1" applyBorder="1" applyAlignment="1">
      <alignment vertical="center"/>
    </xf>
    <xf numFmtId="183" fontId="33" fillId="0" borderId="26" xfId="18" applyNumberFormat="1" applyFont="1" applyFill="1" applyBorder="1" applyAlignment="1">
      <alignment horizontal="right"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176" fontId="12" fillId="0" borderId="13" xfId="0" applyNumberFormat="1" applyFont="1" applyBorder="1" applyAlignment="1">
      <alignment vertical="center"/>
    </xf>
    <xf numFmtId="3" fontId="27" fillId="0" borderId="0" xfId="27" applyNumberFormat="1">
      <alignment vertical="center"/>
    </xf>
    <xf numFmtId="176" fontId="12" fillId="0" borderId="13" xfId="0" applyNumberFormat="1" applyFont="1" applyBorder="1" applyAlignment="1">
      <alignment vertical="center"/>
    </xf>
    <xf numFmtId="183" fontId="33" fillId="0" borderId="26" xfId="18" applyNumberFormat="1" applyFont="1" applyFill="1" applyBorder="1" applyAlignment="1">
      <alignment horizontal="right" vertical="center"/>
    </xf>
    <xf numFmtId="3" fontId="27" fillId="0" borderId="0" xfId="27" applyNumberFormat="1">
      <alignment vertical="center"/>
    </xf>
    <xf numFmtId="176" fontId="12" fillId="0" borderId="13" xfId="0" applyNumberFormat="1" applyFont="1" applyBorder="1" applyAlignment="1">
      <alignment vertical="center"/>
    </xf>
    <xf numFmtId="176" fontId="12" fillId="0" borderId="21" xfId="0" applyNumberFormat="1" applyFont="1" applyBorder="1" applyAlignment="1">
      <alignment vertical="center"/>
    </xf>
    <xf numFmtId="3" fontId="0" fillId="0" borderId="13" xfId="0" applyNumberFormat="1" applyFont="1" applyBorder="1" applyAlignment="1">
      <alignment horizontal="right" vertical="center"/>
    </xf>
    <xf numFmtId="3" fontId="0" fillId="0" borderId="21" xfId="0" applyNumberFormat="1" applyFont="1" applyBorder="1" applyAlignment="1">
      <alignment horizontal="right" vertical="center"/>
    </xf>
    <xf numFmtId="183" fontId="33" fillId="0" borderId="26" xfId="18" applyNumberFormat="1" applyFont="1" applyFill="1" applyBorder="1" applyAlignment="1">
      <alignment horizontal="right" vertical="center"/>
    </xf>
    <xf numFmtId="183" fontId="29" fillId="0" borderId="26" xfId="18" applyNumberFormat="1" applyFont="1" applyFill="1" applyBorder="1" applyAlignment="1">
      <alignment horizontal="right" vertical="center"/>
    </xf>
    <xf numFmtId="183" fontId="29" fillId="0" borderId="34" xfId="18" applyNumberFormat="1" applyFont="1" applyFill="1" applyBorder="1" applyAlignment="1">
      <alignment horizontal="right" vertical="center"/>
    </xf>
    <xf numFmtId="183" fontId="33" fillId="0" borderId="34" xfId="18" applyNumberFormat="1" applyFont="1" applyFill="1" applyBorder="1" applyAlignment="1">
      <alignment horizontal="right" vertical="center"/>
    </xf>
    <xf numFmtId="183" fontId="33" fillId="0" borderId="13" xfId="18" applyNumberFormat="1" applyFont="1" applyFill="1" applyBorder="1" applyAlignment="1">
      <alignment horizontal="right" vertical="center"/>
    </xf>
    <xf numFmtId="3" fontId="27" fillId="0" borderId="0" xfId="27" applyNumberFormat="1">
      <alignment vertical="center"/>
    </xf>
    <xf numFmtId="183" fontId="0" fillId="0" borderId="0" xfId="0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1" fillId="0" borderId="13" xfId="29" applyNumberFormat="1" applyBorder="1">
      <alignment vertical="center"/>
    </xf>
    <xf numFmtId="3" fontId="0" fillId="0" borderId="0" xfId="0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0" fontId="9" fillId="10" borderId="9" xfId="0" applyFont="1" applyFill="1" applyBorder="1" applyAlignment="1">
      <alignment horizontal="center" vertical="center"/>
    </xf>
    <xf numFmtId="0" fontId="9" fillId="10" borderId="11" xfId="0" applyFont="1" applyFill="1" applyBorder="1" applyAlignment="1">
      <alignment horizontal="center" vertical="center"/>
    </xf>
    <xf numFmtId="0" fontId="9" fillId="10" borderId="10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0" fontId="7" fillId="0" borderId="19" xfId="0" quotePrefix="1" applyFont="1" applyBorder="1" applyAlignment="1">
      <alignment horizontal="center" vertical="center" wrapText="1"/>
    </xf>
    <xf numFmtId="0" fontId="7" fillId="0" borderId="13" xfId="0" quotePrefix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3" fontId="7" fillId="8" borderId="17" xfId="0" applyNumberFormat="1" applyFont="1" applyFill="1" applyBorder="1" applyAlignment="1">
      <alignment horizontal="center" vertical="center"/>
    </xf>
    <xf numFmtId="3" fontId="7" fillId="8" borderId="13" xfId="0" applyNumberFormat="1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 wrapText="1"/>
    </xf>
    <xf numFmtId="0" fontId="7" fillId="8" borderId="19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/>
    </xf>
    <xf numFmtId="0" fontId="7" fillId="8" borderId="13" xfId="0" quotePrefix="1" applyFont="1" applyFill="1" applyBorder="1" applyAlignment="1">
      <alignment horizontal="center" vertical="center" wrapText="1"/>
    </xf>
    <xf numFmtId="3" fontId="7" fillId="8" borderId="13" xfId="0" quotePrefix="1" applyNumberFormat="1" applyFont="1" applyFill="1" applyBorder="1" applyAlignment="1">
      <alignment horizontal="center" vertical="center"/>
    </xf>
    <xf numFmtId="3" fontId="24" fillId="8" borderId="13" xfId="0" quotePrefix="1" applyNumberFormat="1" applyFont="1" applyFill="1" applyBorder="1" applyAlignment="1">
      <alignment horizontal="center" vertical="center"/>
    </xf>
    <xf numFmtId="3" fontId="23" fillId="8" borderId="13" xfId="0" quotePrefix="1" applyNumberFormat="1" applyFont="1" applyFill="1" applyBorder="1" applyAlignment="1">
      <alignment horizontal="center" vertical="center"/>
    </xf>
    <xf numFmtId="0" fontId="24" fillId="8" borderId="13" xfId="0" quotePrefix="1" applyFont="1" applyFill="1" applyBorder="1" applyAlignment="1">
      <alignment horizontal="center" vertical="center" wrapText="1"/>
    </xf>
    <xf numFmtId="0" fontId="19" fillId="8" borderId="16" xfId="0" applyFont="1" applyFill="1" applyBorder="1" applyAlignment="1">
      <alignment horizontal="center" vertical="center" wrapText="1"/>
    </xf>
    <xf numFmtId="0" fontId="19" fillId="8" borderId="17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horizontal="left" vertical="center"/>
    </xf>
    <xf numFmtId="0" fontId="7" fillId="8" borderId="24" xfId="0" applyFont="1" applyFill="1" applyBorder="1" applyAlignment="1">
      <alignment horizontal="center" vertical="center"/>
    </xf>
    <xf numFmtId="0" fontId="12" fillId="0" borderId="2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2" fillId="0" borderId="21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0" fontId="7" fillId="11" borderId="16" xfId="0" applyFont="1" applyFill="1" applyBorder="1" applyAlignment="1">
      <alignment horizontal="center" vertical="center" wrapText="1"/>
    </xf>
    <xf numFmtId="0" fontId="7" fillId="11" borderId="19" xfId="0" applyFont="1" applyFill="1" applyBorder="1" applyAlignment="1">
      <alignment horizontal="center" vertical="center" wrapText="1"/>
    </xf>
    <xf numFmtId="0" fontId="7" fillId="11" borderId="22" xfId="0" applyFont="1" applyFill="1" applyBorder="1" applyAlignment="1">
      <alignment horizontal="center" vertical="center" wrapText="1"/>
    </xf>
    <xf numFmtId="0" fontId="6" fillId="11" borderId="17" xfId="0" applyFont="1" applyFill="1" applyBorder="1" applyAlignment="1">
      <alignment horizontal="center" vertical="center" wrapText="1"/>
    </xf>
    <xf numFmtId="0" fontId="6" fillId="11" borderId="13" xfId="0" applyFont="1" applyFill="1" applyBorder="1" applyAlignment="1">
      <alignment horizontal="center" vertical="center" wrapText="1"/>
    </xf>
    <xf numFmtId="0" fontId="6" fillId="11" borderId="23" xfId="0" applyFont="1" applyFill="1" applyBorder="1" applyAlignment="1">
      <alignment horizontal="center" vertical="center" wrapText="1"/>
    </xf>
    <xf numFmtId="0" fontId="7" fillId="11" borderId="17" xfId="0" applyFont="1" applyFill="1" applyBorder="1" applyAlignment="1">
      <alignment horizontal="center" vertical="center" wrapText="1"/>
    </xf>
    <xf numFmtId="0" fontId="7" fillId="11" borderId="13" xfId="0" applyFont="1" applyFill="1" applyBorder="1" applyAlignment="1">
      <alignment horizontal="center" vertical="center" wrapText="1"/>
    </xf>
    <xf numFmtId="0" fontId="7" fillId="11" borderId="23" xfId="0" applyFont="1" applyFill="1" applyBorder="1" applyAlignment="1">
      <alignment horizontal="center" vertical="center" wrapText="1"/>
    </xf>
    <xf numFmtId="3" fontId="7" fillId="11" borderId="17" xfId="0" applyNumberFormat="1" applyFont="1" applyFill="1" applyBorder="1" applyAlignment="1">
      <alignment horizontal="center" vertical="center"/>
    </xf>
    <xf numFmtId="3" fontId="7" fillId="11" borderId="13" xfId="0" applyNumberFormat="1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1" borderId="20" xfId="0" applyFont="1" applyFill="1" applyBorder="1" applyAlignment="1">
      <alignment horizontal="center" vertical="center"/>
    </xf>
    <xf numFmtId="0" fontId="7" fillId="11" borderId="24" xfId="0" applyFont="1" applyFill="1" applyBorder="1" applyAlignment="1">
      <alignment horizontal="center" vertical="center"/>
    </xf>
    <xf numFmtId="3" fontId="7" fillId="11" borderId="13" xfId="0" quotePrefix="1" applyNumberFormat="1" applyFont="1" applyFill="1" applyBorder="1" applyAlignment="1">
      <alignment horizontal="center" vertical="center"/>
    </xf>
    <xf numFmtId="0" fontId="30" fillId="0" borderId="2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/>
    </xf>
    <xf numFmtId="0" fontId="9" fillId="9" borderId="11" xfId="0" applyFont="1" applyFill="1" applyBorder="1" applyAlignment="1">
      <alignment horizontal="center" vertical="center"/>
    </xf>
    <xf numFmtId="0" fontId="9" fillId="9" borderId="10" xfId="0" applyFont="1" applyFill="1" applyBorder="1" applyAlignment="1">
      <alignment horizontal="center" vertical="center"/>
    </xf>
  </cellXfs>
  <cellStyles count="33">
    <cellStyle name="Comma [0]_5year" xfId="1"/>
    <cellStyle name="Comma_495ALL" xfId="2"/>
    <cellStyle name="Currency [0]_5year" xfId="3"/>
    <cellStyle name="Currency_495ALL" xfId="4"/>
    <cellStyle name="Grey" xfId="5"/>
    <cellStyle name="Input [yellow]" xfId="6"/>
    <cellStyle name="Milliers [0]_AR1194" xfId="7"/>
    <cellStyle name="Milliers_AR1194" xfId="8"/>
    <cellStyle name="Mon?aire [0]_AR1194" xfId="9"/>
    <cellStyle name="Mon?aire_AR1194" xfId="10"/>
    <cellStyle name="Normal - Style1" xfId="11"/>
    <cellStyle name="Normal_495ALL" xfId="12"/>
    <cellStyle name="Percent [2]" xfId="13"/>
    <cellStyle name="PERCENTAGE" xfId="14"/>
    <cellStyle name="백분율" xfId="15" builtinId="5"/>
    <cellStyle name="백분율 2" xfId="16"/>
    <cellStyle name="백분율 3" xfId="17"/>
    <cellStyle name="백분율 4" xfId="31"/>
    <cellStyle name="쉼표 [0]" xfId="18" builtinId="6"/>
    <cellStyle name="쉼표 [0] 2" xfId="19"/>
    <cellStyle name="쉼표 [0] 3" xfId="20"/>
    <cellStyle name="쉼표 [0] 4" xfId="28"/>
    <cellStyle name="쉼표 [0] 5" xfId="32"/>
    <cellStyle name="표준" xfId="0" builtinId="0"/>
    <cellStyle name="표준 10" xfId="29"/>
    <cellStyle name="표준 2" xfId="21"/>
    <cellStyle name="표준 3" xfId="22"/>
    <cellStyle name="표준 4" xfId="23"/>
    <cellStyle name="표준 5" xfId="24"/>
    <cellStyle name="표준 6" xfId="25"/>
    <cellStyle name="표준 7" xfId="26"/>
    <cellStyle name="표준 8" xfId="27"/>
    <cellStyle name="표준 9" xfId="30"/>
  </cellStyles>
  <dxfs count="0"/>
  <tableStyles count="0" defaultTableStyle="TableStyleMedium9" defaultPivotStyle="PivotStyleLight16"/>
  <colors>
    <mruColors>
      <color rgb="FFDFE4A4"/>
      <color rgb="FFD2D97D"/>
      <color rgb="FFE37376"/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L32"/>
  <sheetViews>
    <sheetView showGridLines="0" tabSelected="1" zoomScaleNormal="100" zoomScaleSheetLayoutView="75" workbookViewId="0">
      <selection activeCell="H8" sqref="H8"/>
    </sheetView>
  </sheetViews>
  <sheetFormatPr defaultColWidth="8.88671875" defaultRowHeight="13.5"/>
  <cols>
    <col min="1" max="1" width="3.77734375" style="3" customWidth="1"/>
    <col min="2" max="3" width="8.88671875" style="3" customWidth="1"/>
    <col min="4" max="5" width="13.77734375" style="3" customWidth="1"/>
    <col min="6" max="6" width="9.109375" style="9" customWidth="1"/>
    <col min="7" max="7" width="10.44140625" style="9" bestFit="1" customWidth="1"/>
    <col min="8" max="8" width="8.88671875" style="18" customWidth="1"/>
    <col min="9" max="9" width="10.44140625" style="18" bestFit="1" customWidth="1"/>
    <col min="10" max="11" width="8.88671875" style="9" customWidth="1"/>
    <col min="12" max="15" width="8.88671875" style="3" customWidth="1"/>
    <col min="16" max="16384" width="8.88671875" style="3"/>
  </cols>
  <sheetData>
    <row r="3" spans="2:12" ht="42.95" customHeight="1">
      <c r="B3" s="336" t="s">
        <v>349</v>
      </c>
      <c r="C3" s="337"/>
      <c r="D3" s="337"/>
      <c r="E3" s="337"/>
      <c r="F3" s="337"/>
      <c r="G3" s="337"/>
      <c r="H3" s="337"/>
      <c r="I3" s="337"/>
      <c r="J3" s="337"/>
      <c r="K3" s="337"/>
      <c r="L3" s="338"/>
    </row>
    <row r="4" spans="2:12" ht="15" customHeight="1">
      <c r="B4" s="31"/>
      <c r="C4" s="31"/>
      <c r="D4" s="31"/>
      <c r="E4" s="31"/>
      <c r="F4" s="31"/>
      <c r="G4" s="31"/>
      <c r="H4" s="17"/>
      <c r="I4" s="17"/>
      <c r="J4" s="31"/>
      <c r="K4" s="31"/>
      <c r="L4" s="31"/>
    </row>
    <row r="5" spans="2:12" ht="30" customHeight="1">
      <c r="B5" s="343" t="s">
        <v>301</v>
      </c>
      <c r="C5" s="343"/>
      <c r="D5" s="343"/>
      <c r="K5" s="352" t="s">
        <v>300</v>
      </c>
      <c r="L5" s="352"/>
    </row>
    <row r="6" spans="2:12" s="4" customFormat="1" ht="20.100000000000001" customHeight="1">
      <c r="B6" s="346" t="s">
        <v>65</v>
      </c>
      <c r="C6" s="347"/>
      <c r="D6" s="344" t="s">
        <v>66</v>
      </c>
      <c r="E6" s="344"/>
      <c r="F6" s="344"/>
      <c r="G6" s="344"/>
      <c r="H6" s="344"/>
      <c r="I6" s="344"/>
      <c r="J6" s="344" t="s">
        <v>67</v>
      </c>
      <c r="K6" s="344"/>
      <c r="L6" s="339" t="s">
        <v>68</v>
      </c>
    </row>
    <row r="7" spans="2:12" s="4" customFormat="1" ht="20.100000000000001" customHeight="1">
      <c r="B7" s="348"/>
      <c r="C7" s="349"/>
      <c r="D7" s="357" t="s">
        <v>342</v>
      </c>
      <c r="E7" s="357"/>
      <c r="F7" s="355" t="s">
        <v>348</v>
      </c>
      <c r="G7" s="355"/>
      <c r="H7" s="356" t="s">
        <v>350</v>
      </c>
      <c r="I7" s="356"/>
      <c r="J7" s="345"/>
      <c r="K7" s="345"/>
      <c r="L7" s="340"/>
    </row>
    <row r="8" spans="2:12" s="4" customFormat="1" ht="30" customHeight="1">
      <c r="B8" s="348"/>
      <c r="C8" s="349"/>
      <c r="D8" s="74" t="s">
        <v>69</v>
      </c>
      <c r="E8" s="74" t="s">
        <v>70</v>
      </c>
      <c r="F8" s="94" t="s">
        <v>302</v>
      </c>
      <c r="G8" s="95" t="s">
        <v>72</v>
      </c>
      <c r="H8" s="94" t="s">
        <v>73</v>
      </c>
      <c r="I8" s="94" t="s">
        <v>74</v>
      </c>
      <c r="J8" s="74" t="s">
        <v>75</v>
      </c>
      <c r="K8" s="74" t="s">
        <v>76</v>
      </c>
      <c r="L8" s="340"/>
    </row>
    <row r="9" spans="2:12" s="4" customFormat="1" ht="29.25" customHeight="1">
      <c r="B9" s="350" t="s">
        <v>265</v>
      </c>
      <c r="C9" s="351"/>
      <c r="D9" s="96">
        <v>19605</v>
      </c>
      <c r="E9" s="96">
        <v>114971346</v>
      </c>
      <c r="F9" s="96">
        <f>SUM('부두별-세부구분'!F10,'부두별-세부구분'!F37,'부두별-세부구분'!F52,'부두별-세부구분'!F67,'부두별-세부구분'!F86,'부두별-세부구분'!F100)</f>
        <v>7635</v>
      </c>
      <c r="G9" s="97">
        <f>SUM('부두별-세부구분'!G10,'부두별-세부구분'!G37,'부두별-세부구분'!G52,'부두별-세부구분'!G67,'부두별-세부구분'!G86,'부두별-세부구분'!G100)</f>
        <v>48089373</v>
      </c>
      <c r="H9" s="96">
        <f>SUM('부두별-세부구분'!H10,'부두별-세부구분'!H37,'부두별-세부구분'!H52,'부두별-세부구분'!H67,'부두별-세부구분'!H86,'부두별-세부구분'!H100)</f>
        <v>7635</v>
      </c>
      <c r="I9" s="97">
        <f>SUM('부두별-세부구분'!I10,'부두별-세부구분'!I37,'부두별-세부구분'!I52,'부두별-세부구분'!I67,'부두별-세부구분'!I86,'부두별-세부구분'!I100)</f>
        <v>48439105</v>
      </c>
      <c r="J9" s="85">
        <f>(H9/F9*100)-100</f>
        <v>0</v>
      </c>
      <c r="K9" s="85">
        <f>(I9/G9*100)-100</f>
        <v>0.72725423140784073</v>
      </c>
      <c r="L9" s="86"/>
    </row>
    <row r="10" spans="2:12" s="4" customFormat="1" ht="34.5" customHeight="1">
      <c r="B10" s="2"/>
      <c r="C10" s="2"/>
      <c r="D10" s="2"/>
      <c r="E10" s="2"/>
      <c r="F10" s="12"/>
      <c r="G10" s="12"/>
      <c r="H10" s="19"/>
      <c r="I10" s="19"/>
      <c r="J10" s="10"/>
      <c r="K10" s="10"/>
      <c r="L10" s="6"/>
    </row>
    <row r="11" spans="2:12" ht="30" customHeight="1">
      <c r="B11" s="343" t="s">
        <v>77</v>
      </c>
      <c r="C11" s="343"/>
      <c r="D11" s="343"/>
      <c r="K11" s="352" t="s">
        <v>300</v>
      </c>
      <c r="L11" s="352"/>
    </row>
    <row r="12" spans="2:12" s="4" customFormat="1" ht="20.100000000000001" customHeight="1">
      <c r="B12" s="346" t="s">
        <v>65</v>
      </c>
      <c r="C12" s="347"/>
      <c r="D12" s="344" t="s">
        <v>66</v>
      </c>
      <c r="E12" s="344"/>
      <c r="F12" s="344"/>
      <c r="G12" s="344"/>
      <c r="H12" s="344"/>
      <c r="I12" s="344"/>
      <c r="J12" s="344" t="s">
        <v>67</v>
      </c>
      <c r="K12" s="344"/>
      <c r="L12" s="339" t="s">
        <v>68</v>
      </c>
    </row>
    <row r="13" spans="2:12" s="4" customFormat="1" ht="20.100000000000001" customHeight="1">
      <c r="B13" s="348"/>
      <c r="C13" s="349"/>
      <c r="D13" s="353" t="str">
        <f>$D$7</f>
        <v>25년도 실적</v>
      </c>
      <c r="E13" s="353"/>
      <c r="F13" s="354" t="str">
        <f>$F$7</f>
        <v xml:space="preserve">'25.5월 누계 </v>
      </c>
      <c r="G13" s="354"/>
      <c r="H13" s="354" t="str">
        <f>$H$7</f>
        <v>'26.5월 누계</v>
      </c>
      <c r="I13" s="354"/>
      <c r="J13" s="345"/>
      <c r="K13" s="345"/>
      <c r="L13" s="340"/>
    </row>
    <row r="14" spans="2:12" s="4" customFormat="1" ht="30" customHeight="1">
      <c r="B14" s="348"/>
      <c r="C14" s="349"/>
      <c r="D14" s="73" t="s">
        <v>69</v>
      </c>
      <c r="E14" s="73" t="s">
        <v>70</v>
      </c>
      <c r="F14" s="74" t="s">
        <v>71</v>
      </c>
      <c r="G14" s="74" t="s">
        <v>72</v>
      </c>
      <c r="H14" s="74" t="s">
        <v>73</v>
      </c>
      <c r="I14" s="74" t="s">
        <v>74</v>
      </c>
      <c r="J14" s="74" t="s">
        <v>75</v>
      </c>
      <c r="K14" s="74" t="s">
        <v>76</v>
      </c>
      <c r="L14" s="340"/>
    </row>
    <row r="15" spans="2:12" s="4" customFormat="1" ht="30.2" customHeight="1">
      <c r="B15" s="360" t="s">
        <v>78</v>
      </c>
      <c r="C15" s="361"/>
      <c r="D15" s="75">
        <f>SUM('부두별-세부구분'!O11,'부두별-세부구분'!O12,'부두별-세부구분'!O13,'부두별-세부구분'!O14,'부두별-세부구분'!O15,'부두별-세부구분'!O16,'부두별-세부구분'!O19,'부두별-세부구분'!O20,'부두별-세부구분'!O21,'부두별-세부구분'!O22,'부두별-세부구분'!O23,'부두별-세부구분'!O24,'부두별-세부구분'!O25,'부두별-세부구분'!O26,'부두별-세부구분'!O30,'부두별-세부구분'!O31,'부두별-세부구분'!O41,'부두별-세부구분'!O42,'부두별-세부구분'!O43,'부두별-세부구분'!O44,'부두별-세부구분'!O45,'부두별-세부구분'!O46,'부두별-세부구분'!O53,'부두별-세부구분'!O59,'부두별-세부구분'!O60,'부두별-세부구분'!O76,'부두별-세부구분'!O77,'부두별-세부구분'!O78,'부두별-세부구분'!O87)</f>
        <v>12606</v>
      </c>
      <c r="E15" s="75">
        <f>SUM('부두별-세부구분'!P11,'부두별-세부구분'!P12,'부두별-세부구분'!P13,'부두별-세부구분'!P14,'부두별-세부구분'!P15,'부두별-세부구분'!P16,'부두별-세부구분'!P19,'부두별-세부구분'!P20,'부두별-세부구분'!P21,'부두별-세부구분'!P22,'부두별-세부구분'!P23,'부두별-세부구분'!P24,'부두별-세부구분'!P25,'부두별-세부구분'!P26,'부두별-세부구분'!P30,'부두별-세부구분'!P31,'부두별-세부구분'!P41,'부두별-세부구분'!P42,'부두별-세부구분'!P43,'부두별-세부구분'!P44,'부두별-세부구분'!P45,'부두별-세부구분'!P46,'부두별-세부구분'!P53,'부두별-세부구분'!P59,'부두별-세부구분'!P60,'부두별-세부구분'!P76,'부두별-세부구분'!P77,'부두별-세부구분'!P78,'부두별-세부구분'!P87)</f>
        <v>46400944</v>
      </c>
      <c r="F15" s="76">
        <f>SUM('부두별-운영주체구분'!F11,'부두별-운영주체구분'!F33,'부두별-운영주체구분'!F45,'부두별-운영주체구분'!F57,'부두별-운영주체구분'!F73)</f>
        <v>4718</v>
      </c>
      <c r="G15" s="76">
        <f>SUM('부두별-운영주체구분'!G11,'부두별-운영주체구분'!G33,'부두별-운영주체구분'!G45,'부두별-운영주체구분'!G57,'부두별-운영주체구분'!G73)</f>
        <v>20721935</v>
      </c>
      <c r="H15" s="76">
        <f>SUM('부두별-운영주체구분'!H11,'부두별-운영주체구분'!H33,'부두별-운영주체구분'!H45,'부두별-운영주체구분'!H57,'부두별-운영주체구분'!H73)</f>
        <v>4811</v>
      </c>
      <c r="I15" s="76">
        <f>SUM('부두별-운영주체구분'!I11,'부두별-운영주체구분'!I33,'부두별-운영주체구분'!I45,'부두별-운영주체구분'!I57,'부두별-운영주체구분'!I73)</f>
        <v>16993477</v>
      </c>
      <c r="J15" s="77">
        <f>(H15/F15*100)-100</f>
        <v>1.971174226367097</v>
      </c>
      <c r="K15" s="77">
        <f>(I15/G15*100)-100</f>
        <v>-17.992808104069439</v>
      </c>
      <c r="L15" s="82"/>
    </row>
    <row r="16" spans="2:12" s="4" customFormat="1" ht="19.5" customHeight="1">
      <c r="B16" s="350" t="s">
        <v>79</v>
      </c>
      <c r="C16" s="351"/>
      <c r="D16" s="351"/>
      <c r="E16" s="351"/>
      <c r="F16" s="83">
        <f>(F15/F9)*100*1/100</f>
        <v>0.61794368041912251</v>
      </c>
      <c r="G16" s="83">
        <f>(G15/G9)*100*1/100</f>
        <v>0.43090466161827479</v>
      </c>
      <c r="H16" s="84">
        <f>(H15/H9)*100*1/100</f>
        <v>0.63012442698100857</v>
      </c>
      <c r="I16" s="84">
        <f>(I15/I9)*100*1/100</f>
        <v>0.35082144890992517</v>
      </c>
      <c r="J16" s="85"/>
      <c r="K16" s="85"/>
      <c r="L16" s="86"/>
    </row>
    <row r="17" spans="2:12" s="4" customFormat="1" ht="34.5" customHeight="1">
      <c r="B17" s="2"/>
      <c r="C17" s="2"/>
      <c r="D17" s="2"/>
      <c r="E17" s="2"/>
      <c r="F17" s="12"/>
      <c r="G17" s="12"/>
      <c r="H17" s="19"/>
      <c r="I17" s="19"/>
      <c r="J17" s="10"/>
      <c r="K17" s="10"/>
      <c r="L17" s="6"/>
    </row>
    <row r="18" spans="2:12" ht="30" customHeight="1">
      <c r="B18" s="343" t="s">
        <v>80</v>
      </c>
      <c r="C18" s="343"/>
      <c r="D18" s="343"/>
      <c r="K18" s="352" t="s">
        <v>300</v>
      </c>
      <c r="L18" s="352"/>
    </row>
    <row r="19" spans="2:12" s="4" customFormat="1" ht="20.100000000000001" customHeight="1">
      <c r="B19" s="346" t="s">
        <v>65</v>
      </c>
      <c r="C19" s="347"/>
      <c r="D19" s="344" t="s">
        <v>66</v>
      </c>
      <c r="E19" s="344"/>
      <c r="F19" s="344"/>
      <c r="G19" s="344"/>
      <c r="H19" s="344"/>
      <c r="I19" s="344"/>
      <c r="J19" s="344" t="s">
        <v>67</v>
      </c>
      <c r="K19" s="344"/>
      <c r="L19" s="339" t="s">
        <v>68</v>
      </c>
    </row>
    <row r="20" spans="2:12" s="4" customFormat="1" ht="20.100000000000001" customHeight="1">
      <c r="B20" s="348"/>
      <c r="C20" s="349"/>
      <c r="D20" s="353" t="str">
        <f>$D$7</f>
        <v>25년도 실적</v>
      </c>
      <c r="E20" s="353"/>
      <c r="F20" s="354" t="str">
        <f>$F$7</f>
        <v xml:space="preserve">'25.5월 누계 </v>
      </c>
      <c r="G20" s="354"/>
      <c r="H20" s="354" t="str">
        <f>$H$7</f>
        <v>'26.5월 누계</v>
      </c>
      <c r="I20" s="354"/>
      <c r="J20" s="345"/>
      <c r="K20" s="345"/>
      <c r="L20" s="340"/>
    </row>
    <row r="21" spans="2:12" s="4" customFormat="1" ht="30" customHeight="1">
      <c r="B21" s="348"/>
      <c r="C21" s="349"/>
      <c r="D21" s="73" t="s">
        <v>69</v>
      </c>
      <c r="E21" s="73" t="s">
        <v>70</v>
      </c>
      <c r="F21" s="74" t="s">
        <v>71</v>
      </c>
      <c r="G21" s="74" t="s">
        <v>72</v>
      </c>
      <c r="H21" s="74" t="s">
        <v>73</v>
      </c>
      <c r="I21" s="74" t="s">
        <v>74</v>
      </c>
      <c r="J21" s="74" t="s">
        <v>75</v>
      </c>
      <c r="K21" s="74" t="s">
        <v>76</v>
      </c>
      <c r="L21" s="340"/>
    </row>
    <row r="22" spans="2:12" s="4" customFormat="1" ht="29.25" customHeight="1">
      <c r="B22" s="360" t="s">
        <v>78</v>
      </c>
      <c r="C22" s="361"/>
      <c r="D22" s="75">
        <f>SUM('부두별-세부구분'!O17,'부두별-세부구분'!O18,'부두별-세부구분'!O27,'부두별-세부구분'!O28,'부두별-세부구분'!O29,'부두별-세부구분'!O38,'부두별-세부구분'!O39,'부두별-세부구분'!O40,'부두별-세부구분'!O54,'부두별-세부구분'!O55,'부두별-세부구분'!O56,'부두별-세부구분'!O57,'부두별-세부구분'!O58,'부두별-세부구분'!O61,'부두별-세부구분'!O68,'부두별-세부구분'!O69,'부두별-세부구분'!O70,'부두별-세부구분'!O71,'부두별-세부구분'!O72,'부두별-세부구분'!O73,'부두별-세부구분'!O74,'부두별-세부구분'!O75,'부두별-세부구분'!O79,'부두별-세부구분'!O80,'부두별-세부구분'!O90,'부두별-세부구분'!O91,'부두별-세부구분'!O92,'부두별-세부구분'!O93,'부두별-세부구분'!O94,'부두별-세부구분'!O88,'부두별-세부구분'!O89,'부두별-세부구분'!O101,'부두별-세부구분'!O102,'부두별-세부구분'!O103,'부두별-세부구분'!O104,'부두별-세부구분'!O105,'부두별-세부구분'!O106,'부두별-세부구분'!O107)</f>
        <v>6999</v>
      </c>
      <c r="E22" s="75">
        <f>SUM('부두별-세부구분'!P17,'부두별-세부구분'!P18,'부두별-세부구분'!P27,'부두별-세부구분'!P28,'부두별-세부구분'!P29,'부두별-세부구분'!P38,'부두별-세부구분'!P39,'부두별-세부구분'!P40,'부두별-세부구분'!P54,'부두별-세부구분'!P55,'부두별-세부구분'!P56,'부두별-세부구분'!P57,'부두별-세부구분'!P58,'부두별-세부구분'!P61,'부두별-세부구분'!P68,'부두별-세부구분'!P69,'부두별-세부구분'!P70,'부두별-세부구분'!P71,'부두별-세부구분'!P72,'부두별-세부구분'!P73,'부두별-세부구분'!P74,'부두별-세부구분'!P75,'부두별-세부구분'!P79,'부두별-세부구분'!P80,'부두별-세부구분'!P90,'부두별-세부구분'!P91,'부두별-세부구분'!P92,'부두별-세부구분'!P93,'부두별-세부구분'!P94,'부두별-세부구분'!P88,'부두별-세부구분'!P89,'부두별-세부구분'!P101,'부두별-세부구분'!P102,'부두별-세부구분'!P103,'부두별-세부구분'!P104,'부두별-세부구분'!P105,'부두별-세부구분'!P106,'부두별-세부구분'!P107)</f>
        <v>68570402</v>
      </c>
      <c r="F22" s="76">
        <f>SUM('부두별-운영주체구분'!R11,'부두별-운영주체구분'!R33,'부두별-운영주체구분'!R45,'부두별-운영주체구분'!R57,'부두별-운영주체구분'!R73,'부두별-운영주체구분'!R86)</f>
        <v>2917</v>
      </c>
      <c r="G22" s="76">
        <f>SUM('부두별-운영주체구분'!S11,'부두별-운영주체구분'!S33,'부두별-운영주체구분'!S45,'부두별-운영주체구분'!S57,'부두별-운영주체구분'!S73,'부두별-운영주체구분'!S86)</f>
        <v>27367438</v>
      </c>
      <c r="H22" s="76">
        <f>SUM('부두별-운영주체구분'!T11,'부두별-운영주체구분'!T33,'부두별-운영주체구분'!T45,'부두별-운영주체구분'!T57,'부두별-운영주체구분'!T73,'부두별-운영주체구분'!T86)</f>
        <v>2824</v>
      </c>
      <c r="I22" s="76">
        <f>SUM('부두별-운영주체구분'!U11,'부두별-운영주체구분'!U33,'부두별-운영주체구분'!U45,'부두별-운영주체구분'!U57,'부두별-운영주체구분'!U73,'부두별-운영주체구분'!U86)</f>
        <v>31445628</v>
      </c>
      <c r="J22" s="77">
        <f>(H22/F22*100)-100</f>
        <v>-3.1882070620500542</v>
      </c>
      <c r="K22" s="77">
        <f>(I22/G22*100)-100</f>
        <v>14.901614100669576</v>
      </c>
      <c r="L22" s="82"/>
    </row>
    <row r="23" spans="2:12" s="4" customFormat="1" ht="20.100000000000001" customHeight="1">
      <c r="B23" s="350" t="s">
        <v>81</v>
      </c>
      <c r="C23" s="351"/>
      <c r="D23" s="351"/>
      <c r="E23" s="351"/>
      <c r="F23" s="83">
        <f>(F22/F9)*100*1/100</f>
        <v>0.38205631958087755</v>
      </c>
      <c r="G23" s="83">
        <f>(G22/G9)*100*1/100</f>
        <v>0.56909533838172521</v>
      </c>
      <c r="H23" s="84">
        <f>(H22/H9)*100*1/100</f>
        <v>0.36987557301899154</v>
      </c>
      <c r="I23" s="84">
        <f>(I22/I9)*100*1/100</f>
        <v>0.64917855109007472</v>
      </c>
      <c r="J23" s="85"/>
      <c r="K23" s="85"/>
      <c r="L23" s="86"/>
    </row>
    <row r="24" spans="2:12" s="4" customFormat="1" ht="20.100000000000001" customHeight="1">
      <c r="B24" s="14"/>
      <c r="C24" s="14"/>
      <c r="D24" s="14"/>
      <c r="E24" s="14"/>
      <c r="F24" s="15"/>
      <c r="G24" s="15"/>
      <c r="H24" s="20"/>
      <c r="I24" s="20"/>
      <c r="J24" s="10"/>
      <c r="K24" s="10"/>
      <c r="L24" s="6"/>
    </row>
    <row r="25" spans="2:12" s="4" customFormat="1" ht="20.100000000000001" customHeight="1">
      <c r="B25" s="14"/>
      <c r="C25" s="14"/>
      <c r="D25" s="14"/>
      <c r="E25" s="14"/>
      <c r="F25" s="15"/>
      <c r="G25" s="15"/>
      <c r="H25" s="20"/>
      <c r="I25" s="20"/>
      <c r="J25" s="10"/>
      <c r="K25" s="10"/>
      <c r="L25" s="6"/>
    </row>
    <row r="26" spans="2:12" s="4" customFormat="1" ht="30" customHeight="1">
      <c r="B26" s="343" t="s">
        <v>311</v>
      </c>
      <c r="C26" s="343"/>
      <c r="D26" s="343"/>
      <c r="E26" s="343"/>
      <c r="F26" s="15"/>
      <c r="G26" s="15"/>
      <c r="H26" s="20"/>
      <c r="I26" s="20"/>
      <c r="J26" s="10"/>
      <c r="K26" s="362" t="s">
        <v>82</v>
      </c>
      <c r="L26" s="362"/>
    </row>
    <row r="27" spans="2:12" s="4" customFormat="1" ht="30.2" customHeight="1">
      <c r="B27" s="358" t="s">
        <v>65</v>
      </c>
      <c r="C27" s="359"/>
      <c r="D27" s="87" t="s">
        <v>83</v>
      </c>
      <c r="E27" s="87" t="s">
        <v>84</v>
      </c>
      <c r="F27" s="87" t="s">
        <v>85</v>
      </c>
      <c r="G27" s="87" t="s">
        <v>86</v>
      </c>
      <c r="H27" s="88" t="s">
        <v>87</v>
      </c>
      <c r="I27" s="88" t="s">
        <v>88</v>
      </c>
      <c r="J27" s="88" t="s">
        <v>89</v>
      </c>
      <c r="K27" s="88" t="s">
        <v>90</v>
      </c>
      <c r="L27" s="89" t="s">
        <v>68</v>
      </c>
    </row>
    <row r="28" spans="2:12" s="4" customFormat="1" ht="39.950000000000003" customHeight="1">
      <c r="B28" s="341" t="s">
        <v>343</v>
      </c>
      <c r="C28" s="342"/>
      <c r="D28" s="78">
        <f>SUM(E28:K28)</f>
        <v>48008227</v>
      </c>
      <c r="E28" s="78">
        <f>품목별!F8</f>
        <v>2649169</v>
      </c>
      <c r="F28" s="78">
        <f>품목별!F19</f>
        <v>19202346</v>
      </c>
      <c r="G28" s="78">
        <f>품목별!F37</f>
        <v>6933714</v>
      </c>
      <c r="H28" s="79">
        <f>품목별!F33</f>
        <v>294598</v>
      </c>
      <c r="I28" s="79">
        <f>품목별!F16</f>
        <v>758899</v>
      </c>
      <c r="J28" s="78">
        <f>품목별!F39</f>
        <v>5335651</v>
      </c>
      <c r="K28" s="78">
        <f>품목별!F27</f>
        <v>12833850</v>
      </c>
      <c r="L28" s="90"/>
    </row>
    <row r="29" spans="2:12" s="4" customFormat="1" ht="39.950000000000003" customHeight="1">
      <c r="B29" s="341" t="s">
        <v>344</v>
      </c>
      <c r="C29" s="342"/>
      <c r="D29" s="78">
        <f>SUM(E29:K29)</f>
        <v>48439105</v>
      </c>
      <c r="E29" s="78">
        <f>품목별!G8</f>
        <v>2720097</v>
      </c>
      <c r="F29" s="78">
        <f>품목별!G19</f>
        <v>18608262</v>
      </c>
      <c r="G29" s="78">
        <f>품목별!G37</f>
        <v>7464357</v>
      </c>
      <c r="H29" s="79">
        <f>품목별!G33</f>
        <v>417217</v>
      </c>
      <c r="I29" s="79">
        <f>품목별!G16</f>
        <v>859364</v>
      </c>
      <c r="J29" s="78">
        <f>품목별!G39</f>
        <v>5206611</v>
      </c>
      <c r="K29" s="78">
        <f>품목별!G27</f>
        <v>13163197</v>
      </c>
      <c r="L29" s="90"/>
    </row>
    <row r="30" spans="2:12" s="4" customFormat="1" ht="39.950000000000003" customHeight="1">
      <c r="B30" s="360" t="s">
        <v>91</v>
      </c>
      <c r="C30" s="361"/>
      <c r="D30" s="78">
        <f>D29-D28</f>
        <v>430878</v>
      </c>
      <c r="E30" s="78">
        <f t="shared" ref="E30:K30" si="0">E29-E28</f>
        <v>70928</v>
      </c>
      <c r="F30" s="78">
        <f t="shared" si="0"/>
        <v>-594084</v>
      </c>
      <c r="G30" s="78">
        <f t="shared" si="0"/>
        <v>530643</v>
      </c>
      <c r="H30" s="79">
        <f t="shared" si="0"/>
        <v>122619</v>
      </c>
      <c r="I30" s="79">
        <f>I29-I28</f>
        <v>100465</v>
      </c>
      <c r="J30" s="78">
        <f t="shared" si="0"/>
        <v>-129040</v>
      </c>
      <c r="K30" s="78">
        <f t="shared" si="0"/>
        <v>329347</v>
      </c>
      <c r="L30" s="90"/>
    </row>
    <row r="31" spans="2:12" s="4" customFormat="1" ht="39.950000000000003" customHeight="1">
      <c r="B31" s="350" t="s">
        <v>92</v>
      </c>
      <c r="C31" s="351"/>
      <c r="D31" s="91">
        <f>(D29/D28*100)-100</f>
        <v>0.89750867075343876</v>
      </c>
      <c r="E31" s="91">
        <f t="shared" ref="E31:K31" si="1">(E29/E28*100)-100</f>
        <v>2.6773678840421411</v>
      </c>
      <c r="F31" s="91">
        <f t="shared" si="1"/>
        <v>-3.0938094751547567</v>
      </c>
      <c r="G31" s="91">
        <f>(G29/G28*100)-100</f>
        <v>7.6530846239115249</v>
      </c>
      <c r="H31" s="92">
        <f t="shared" si="1"/>
        <v>41.622482162132798</v>
      </c>
      <c r="I31" s="92">
        <f t="shared" si="1"/>
        <v>13.238257001261047</v>
      </c>
      <c r="J31" s="91">
        <f t="shared" si="1"/>
        <v>-2.4184490327422026</v>
      </c>
      <c r="K31" s="91">
        <f t="shared" si="1"/>
        <v>2.5662369437074517</v>
      </c>
      <c r="L31" s="93"/>
    </row>
    <row r="32" spans="2:12" s="4" customFormat="1" ht="20.100000000000001" customHeight="1">
      <c r="B32" s="14"/>
      <c r="C32" s="14"/>
      <c r="D32" s="14"/>
      <c r="E32" s="14"/>
      <c r="F32" s="15"/>
      <c r="G32" s="15"/>
      <c r="H32" s="20"/>
      <c r="I32" s="20"/>
      <c r="J32" s="10"/>
      <c r="K32" s="10"/>
      <c r="L32" s="6"/>
    </row>
  </sheetData>
  <sortState ref="N138:O144">
    <sortCondition ref="N133"/>
  </sortState>
  <mergeCells count="40">
    <mergeCell ref="J19:K20"/>
    <mergeCell ref="H13:I13"/>
    <mergeCell ref="K26:L26"/>
    <mergeCell ref="B15:C15"/>
    <mergeCell ref="B22:C22"/>
    <mergeCell ref="B16:E16"/>
    <mergeCell ref="B23:E23"/>
    <mergeCell ref="B18:D18"/>
    <mergeCell ref="D20:E20"/>
    <mergeCell ref="L19:L21"/>
    <mergeCell ref="F20:G20"/>
    <mergeCell ref="H20:I20"/>
    <mergeCell ref="D19:I19"/>
    <mergeCell ref="B31:C31"/>
    <mergeCell ref="B27:C27"/>
    <mergeCell ref="B26:E26"/>
    <mergeCell ref="B29:C29"/>
    <mergeCell ref="B30:C30"/>
    <mergeCell ref="L6:L8"/>
    <mergeCell ref="F7:G7"/>
    <mergeCell ref="H7:I7"/>
    <mergeCell ref="J6:K7"/>
    <mergeCell ref="D6:I6"/>
    <mergeCell ref="D7:E7"/>
    <mergeCell ref="B3:L3"/>
    <mergeCell ref="L12:L14"/>
    <mergeCell ref="B28:C28"/>
    <mergeCell ref="B11:D11"/>
    <mergeCell ref="J12:K13"/>
    <mergeCell ref="B19:C21"/>
    <mergeCell ref="B5:D5"/>
    <mergeCell ref="B12:C14"/>
    <mergeCell ref="B6:C8"/>
    <mergeCell ref="B9:C9"/>
    <mergeCell ref="K5:L5"/>
    <mergeCell ref="K11:L11"/>
    <mergeCell ref="K18:L18"/>
    <mergeCell ref="D13:E13"/>
    <mergeCell ref="F13:G13"/>
    <mergeCell ref="D12:I12"/>
  </mergeCells>
  <phoneticPr fontId="5" type="noConversion"/>
  <pageMargins left="0.74803149606299213" right="0.74803149606299213" top="0.62992125984251968" bottom="0.51181102362204722" header="0.43307086614173229" footer="0.51181102362204722"/>
  <pageSetup paperSize="9" scale="67" orientation="portrait" r:id="rId1"/>
  <headerFooter alignWithMargins="0">
    <oddFooter>&amp;R&amp;N/&amp;P</oddFooter>
  </headerFooter>
  <rowBreaks count="1" manualBreakCount="1">
    <brk id="25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V114"/>
  <sheetViews>
    <sheetView showGridLines="0" workbookViewId="0">
      <selection activeCell="F31" sqref="F31"/>
    </sheetView>
  </sheetViews>
  <sheetFormatPr defaultRowHeight="13.5"/>
  <cols>
    <col min="1" max="1" width="3.77734375" customWidth="1"/>
    <col min="4" max="4" width="11.44140625" bestFit="1" customWidth="1"/>
    <col min="5" max="5" width="13.5546875" style="50" customWidth="1"/>
    <col min="6" max="6" width="8.88671875" style="254" customWidth="1"/>
    <col min="7" max="7" width="11" bestFit="1" customWidth="1"/>
    <col min="8" max="8" width="8.88671875" style="264"/>
    <col min="9" max="9" width="11.6640625" style="273" bestFit="1" customWidth="1"/>
    <col min="11" max="11" width="8.88671875" customWidth="1"/>
    <col min="12" max="12" width="9" customWidth="1"/>
    <col min="13" max="13" width="8.88671875" hidden="1" customWidth="1"/>
    <col min="14" max="14" width="20.21875" hidden="1" customWidth="1"/>
    <col min="15" max="15" width="8.88671875" hidden="1" customWidth="1"/>
    <col min="16" max="16" width="12.21875" hidden="1" customWidth="1"/>
    <col min="17" max="17" width="11.44140625" hidden="1" customWidth="1"/>
    <col min="18" max="20" width="0" hidden="1" customWidth="1"/>
  </cols>
  <sheetData>
    <row r="3" spans="2:19" ht="42.95" customHeight="1">
      <c r="B3" s="336" t="s">
        <v>299</v>
      </c>
      <c r="C3" s="337"/>
      <c r="D3" s="337"/>
      <c r="E3" s="337"/>
      <c r="F3" s="337"/>
      <c r="G3" s="337"/>
      <c r="H3" s="337"/>
      <c r="I3" s="337"/>
      <c r="J3" s="337"/>
      <c r="K3" s="337"/>
      <c r="L3" s="338"/>
    </row>
    <row r="4" spans="2:19" s="67" customFormat="1" ht="15" customHeight="1">
      <c r="B4" s="66"/>
      <c r="C4" s="66"/>
      <c r="D4" s="66"/>
      <c r="E4" s="66"/>
      <c r="F4" s="249"/>
      <c r="G4" s="66"/>
      <c r="H4" s="259"/>
      <c r="I4" s="265"/>
      <c r="J4" s="66"/>
      <c r="K4" s="66"/>
      <c r="L4" s="66"/>
    </row>
    <row r="5" spans="2:19" s="3" customFormat="1" ht="15" customHeight="1">
      <c r="B5" s="46"/>
      <c r="C5" s="47"/>
      <c r="D5" s="46"/>
      <c r="E5" s="49"/>
      <c r="F5" s="255"/>
      <c r="G5" s="9"/>
      <c r="H5" s="260"/>
      <c r="I5" s="266"/>
      <c r="J5" s="9"/>
      <c r="K5" s="9"/>
    </row>
    <row r="6" spans="2:19" s="3" customFormat="1" ht="30" customHeight="1">
      <c r="B6" s="363" t="s">
        <v>303</v>
      </c>
      <c r="C6" s="363"/>
      <c r="E6" s="49"/>
      <c r="F6" s="255"/>
      <c r="G6" s="9"/>
      <c r="H6" s="260"/>
      <c r="I6" s="267"/>
      <c r="J6" s="9"/>
      <c r="K6" s="352" t="s">
        <v>300</v>
      </c>
      <c r="L6" s="352"/>
    </row>
    <row r="7" spans="2:19" s="4" customFormat="1" ht="20.100000000000001" customHeight="1">
      <c r="B7" s="346" t="s">
        <v>0</v>
      </c>
      <c r="C7" s="369" t="s">
        <v>1</v>
      </c>
      <c r="D7" s="347" t="s">
        <v>2</v>
      </c>
      <c r="E7" s="347" t="s">
        <v>3</v>
      </c>
      <c r="F7" s="344" t="s">
        <v>101</v>
      </c>
      <c r="G7" s="344"/>
      <c r="H7" s="344"/>
      <c r="I7" s="344"/>
      <c r="J7" s="344" t="s">
        <v>67</v>
      </c>
      <c r="K7" s="344"/>
      <c r="L7" s="339" t="s">
        <v>68</v>
      </c>
      <c r="N7" s="37"/>
      <c r="O7" s="64" t="s">
        <v>345</v>
      </c>
      <c r="Q7" s="279">
        <f>I10+I37+I52+I67+I86+I100</f>
        <v>48439105</v>
      </c>
    </row>
    <row r="8" spans="2:19" s="4" customFormat="1" ht="20.100000000000001" customHeight="1">
      <c r="B8" s="348"/>
      <c r="C8" s="370"/>
      <c r="D8" s="349"/>
      <c r="E8" s="349"/>
      <c r="F8" s="356" t="str">
        <f>'총 계'!F7:G7</f>
        <v xml:space="preserve">'25.5월 누계 </v>
      </c>
      <c r="G8" s="356"/>
      <c r="H8" s="356" t="str">
        <f>'총 계'!H7:I7</f>
        <v>'26.5월 누계</v>
      </c>
      <c r="I8" s="356"/>
      <c r="J8" s="345"/>
      <c r="K8" s="345"/>
      <c r="L8" s="340"/>
      <c r="O8" s="4" t="s">
        <v>328</v>
      </c>
      <c r="P8" s="4" t="s">
        <v>329</v>
      </c>
    </row>
    <row r="9" spans="2:19" s="4" customFormat="1" ht="30" customHeight="1" thickBot="1">
      <c r="B9" s="368"/>
      <c r="C9" s="371"/>
      <c r="D9" s="374"/>
      <c r="E9" s="374"/>
      <c r="F9" s="256" t="s">
        <v>71</v>
      </c>
      <c r="G9" s="140" t="s">
        <v>72</v>
      </c>
      <c r="H9" s="261" t="s">
        <v>73</v>
      </c>
      <c r="I9" s="268" t="s">
        <v>74</v>
      </c>
      <c r="J9" s="141" t="s">
        <v>75</v>
      </c>
      <c r="K9" s="141" t="s">
        <v>76</v>
      </c>
      <c r="L9" s="364"/>
    </row>
    <row r="10" spans="2:19" s="4" customFormat="1" ht="23.1" customHeight="1" thickBot="1">
      <c r="B10" s="148" t="s">
        <v>333</v>
      </c>
      <c r="C10" s="149"/>
      <c r="D10" s="149"/>
      <c r="E10" s="149"/>
      <c r="F10" s="251">
        <f t="shared" ref="F10:G10" si="0">SUM(F11:F31)</f>
        <v>4155</v>
      </c>
      <c r="G10" s="150">
        <f t="shared" si="0"/>
        <v>14992593</v>
      </c>
      <c r="H10" s="278">
        <f>SUM(H11:H31)</f>
        <v>4459</v>
      </c>
      <c r="I10" s="269">
        <f>SUM(I11:I31)</f>
        <v>15751338</v>
      </c>
      <c r="J10" s="151">
        <f>(H10/F10*100)-100</f>
        <v>7.3164861612515182</v>
      </c>
      <c r="K10" s="151">
        <f>(I10/G10*100)-100</f>
        <v>5.0607990225573332</v>
      </c>
      <c r="L10" s="152"/>
    </row>
    <row r="11" spans="2:19" s="5" customFormat="1" ht="23.1" customHeight="1">
      <c r="B11" s="142" t="s">
        <v>4</v>
      </c>
      <c r="C11" s="143">
        <v>26000</v>
      </c>
      <c r="D11" s="245" t="s">
        <v>5</v>
      </c>
      <c r="E11" s="240" t="s">
        <v>94</v>
      </c>
      <c r="F11" s="322">
        <v>79</v>
      </c>
      <c r="G11" s="274">
        <v>239776</v>
      </c>
      <c r="H11" s="280"/>
      <c r="I11" s="276"/>
      <c r="J11" s="146">
        <f>(H11/F11*100)-100</f>
        <v>-100</v>
      </c>
      <c r="K11" s="146">
        <f>(I11/G11*100)-100</f>
        <v>-100</v>
      </c>
      <c r="L11" s="147"/>
      <c r="N11" s="37" t="s">
        <v>207</v>
      </c>
      <c r="O11" s="285">
        <v>79</v>
      </c>
      <c r="P11" s="297">
        <v>239776</v>
      </c>
      <c r="Q11" s="5">
        <f t="shared" ref="Q11:Q22" si="1">R11+S11</f>
        <v>79</v>
      </c>
      <c r="R11" s="5">
        <v>40</v>
      </c>
      <c r="S11" s="5">
        <v>39</v>
      </c>
    </row>
    <row r="12" spans="2:19" s="5" customFormat="1" ht="23.1" customHeight="1">
      <c r="B12" s="125" t="s">
        <v>6</v>
      </c>
      <c r="C12" s="100">
        <v>26000</v>
      </c>
      <c r="D12" s="239" t="s">
        <v>5</v>
      </c>
      <c r="E12" s="238" t="s">
        <v>94</v>
      </c>
      <c r="F12" s="322">
        <v>139</v>
      </c>
      <c r="G12" s="274">
        <v>502399</v>
      </c>
      <c r="H12" s="311">
        <v>129</v>
      </c>
      <c r="I12" s="276">
        <v>601922</v>
      </c>
      <c r="J12" s="71">
        <f t="shared" ref="J12:K30" si="2">(H12/F12*100)-100</f>
        <v>-7.1942446043165518</v>
      </c>
      <c r="K12" s="71">
        <f>(I12/G12*100)-100</f>
        <v>19.80955376105446</v>
      </c>
      <c r="L12" s="126"/>
      <c r="N12" s="37" t="s">
        <v>209</v>
      </c>
      <c r="O12" s="285">
        <v>329</v>
      </c>
      <c r="P12" s="297">
        <v>1363839</v>
      </c>
      <c r="Q12" s="5">
        <f t="shared" si="1"/>
        <v>329</v>
      </c>
      <c r="R12" s="5">
        <v>166</v>
      </c>
      <c r="S12" s="5">
        <v>163</v>
      </c>
    </row>
    <row r="13" spans="2:19" s="5" customFormat="1" ht="23.1" customHeight="1">
      <c r="B13" s="125" t="s">
        <v>263</v>
      </c>
      <c r="C13" s="100"/>
      <c r="D13" s="239"/>
      <c r="E13" s="238"/>
      <c r="F13" s="71"/>
      <c r="G13" s="275">
        <v>0</v>
      </c>
      <c r="H13" s="71"/>
      <c r="I13" s="277"/>
      <c r="J13" s="71">
        <v>0</v>
      </c>
      <c r="K13" s="71">
        <v>0</v>
      </c>
      <c r="L13" s="126"/>
      <c r="N13" s="37" t="s">
        <v>326</v>
      </c>
      <c r="O13" s="283"/>
      <c r="P13" s="283">
        <v>0</v>
      </c>
      <c r="Q13" s="5">
        <f t="shared" si="1"/>
        <v>0</v>
      </c>
    </row>
    <row r="14" spans="2:19" s="5" customFormat="1" ht="23.1" customHeight="1">
      <c r="B14" s="125">
        <v>1</v>
      </c>
      <c r="C14" s="100">
        <v>50000</v>
      </c>
      <c r="D14" s="239" t="s">
        <v>96</v>
      </c>
      <c r="E14" s="238" t="s">
        <v>249</v>
      </c>
      <c r="F14" s="323">
        <v>197</v>
      </c>
      <c r="G14" s="274">
        <v>1422545</v>
      </c>
      <c r="H14" s="309">
        <v>181</v>
      </c>
      <c r="I14" s="276">
        <v>1960783</v>
      </c>
      <c r="J14" s="71">
        <f>(H14/F14*100)-100</f>
        <v>-8.1218274111675157</v>
      </c>
      <c r="K14" s="71">
        <f>(I14/G14*100)-100</f>
        <v>37.83627231475981</v>
      </c>
      <c r="L14" s="126"/>
      <c r="N14" s="37" t="s">
        <v>268</v>
      </c>
      <c r="O14" s="285">
        <v>462</v>
      </c>
      <c r="P14" s="297">
        <v>3708984</v>
      </c>
      <c r="Q14" s="5">
        <f t="shared" si="1"/>
        <v>462</v>
      </c>
      <c r="R14" s="5">
        <v>246</v>
      </c>
      <c r="S14" s="5">
        <v>216</v>
      </c>
    </row>
    <row r="15" spans="2:19" s="5" customFormat="1" ht="23.1" customHeight="1">
      <c r="B15" s="125">
        <v>2</v>
      </c>
      <c r="C15" s="100">
        <v>50000</v>
      </c>
      <c r="D15" s="238" t="s">
        <v>10</v>
      </c>
      <c r="E15" s="366" t="s">
        <v>95</v>
      </c>
      <c r="F15" s="323">
        <v>195</v>
      </c>
      <c r="G15" s="274">
        <v>1095123</v>
      </c>
      <c r="H15" s="309">
        <v>223</v>
      </c>
      <c r="I15" s="276">
        <v>1227980</v>
      </c>
      <c r="J15" s="71">
        <f t="shared" si="2"/>
        <v>14.358974358974351</v>
      </c>
      <c r="K15" s="71">
        <f t="shared" si="2"/>
        <v>12.131696622205908</v>
      </c>
      <c r="L15" s="126"/>
      <c r="N15" s="37" t="s">
        <v>186</v>
      </c>
      <c r="O15" s="285">
        <v>482</v>
      </c>
      <c r="P15" s="297">
        <v>2820209</v>
      </c>
      <c r="Q15" s="5">
        <f t="shared" si="1"/>
        <v>482</v>
      </c>
      <c r="R15" s="5">
        <v>232</v>
      </c>
      <c r="S15" s="5">
        <v>250</v>
      </c>
    </row>
    <row r="16" spans="2:19" s="5" customFormat="1" ht="23.1" customHeight="1">
      <c r="B16" s="125">
        <v>3</v>
      </c>
      <c r="C16" s="100">
        <v>50000</v>
      </c>
      <c r="D16" s="238" t="s">
        <v>96</v>
      </c>
      <c r="E16" s="366"/>
      <c r="F16" s="323">
        <v>171</v>
      </c>
      <c r="G16" s="274">
        <v>763928</v>
      </c>
      <c r="H16" s="309">
        <v>172</v>
      </c>
      <c r="I16" s="276">
        <v>797315</v>
      </c>
      <c r="J16" s="71">
        <f t="shared" si="2"/>
        <v>0.5847953216374151</v>
      </c>
      <c r="K16" s="71">
        <f t="shared" si="2"/>
        <v>4.3704380517535668</v>
      </c>
      <c r="L16" s="126"/>
      <c r="N16" s="38" t="s">
        <v>198</v>
      </c>
      <c r="O16" s="285">
        <v>439</v>
      </c>
      <c r="P16" s="297">
        <v>2012855</v>
      </c>
      <c r="Q16" s="5">
        <f t="shared" si="1"/>
        <v>439</v>
      </c>
      <c r="R16" s="5">
        <v>234</v>
      </c>
      <c r="S16" s="5">
        <v>205</v>
      </c>
    </row>
    <row r="17" spans="2:23" s="5" customFormat="1" ht="23.1" customHeight="1">
      <c r="B17" s="125">
        <v>4</v>
      </c>
      <c r="C17" s="100">
        <v>50000</v>
      </c>
      <c r="D17" s="238" t="s">
        <v>10</v>
      </c>
      <c r="E17" s="377" t="s">
        <v>309</v>
      </c>
      <c r="F17" s="323">
        <v>147</v>
      </c>
      <c r="G17" s="274">
        <v>1657522</v>
      </c>
      <c r="H17" s="309">
        <v>168</v>
      </c>
      <c r="I17" s="276">
        <v>1757929</v>
      </c>
      <c r="J17" s="71">
        <f t="shared" si="2"/>
        <v>14.285714285714278</v>
      </c>
      <c r="K17" s="71">
        <f t="shared" si="2"/>
        <v>6.0576571532685648</v>
      </c>
      <c r="L17" s="126"/>
      <c r="N17" s="38" t="s">
        <v>163</v>
      </c>
      <c r="O17" s="285">
        <v>372</v>
      </c>
      <c r="P17" s="297">
        <v>4141504</v>
      </c>
      <c r="Q17" s="5">
        <f t="shared" si="1"/>
        <v>372</v>
      </c>
      <c r="R17" s="5">
        <v>187</v>
      </c>
      <c r="S17" s="5">
        <v>185</v>
      </c>
    </row>
    <row r="18" spans="2:23" s="5" customFormat="1" ht="23.1" customHeight="1">
      <c r="B18" s="125">
        <v>5</v>
      </c>
      <c r="C18" s="100">
        <v>30000</v>
      </c>
      <c r="D18" s="238" t="s">
        <v>10</v>
      </c>
      <c r="E18" s="377"/>
      <c r="F18" s="323">
        <v>179</v>
      </c>
      <c r="G18" s="274">
        <v>2033438</v>
      </c>
      <c r="H18" s="309">
        <v>155</v>
      </c>
      <c r="I18" s="276">
        <v>1683135</v>
      </c>
      <c r="J18" s="71">
        <f t="shared" si="2"/>
        <v>-13.407821229050271</v>
      </c>
      <c r="K18" s="71">
        <f t="shared" si="2"/>
        <v>-17.227129619885133</v>
      </c>
      <c r="L18" s="126"/>
      <c r="N18" s="37" t="s">
        <v>164</v>
      </c>
      <c r="O18" s="285">
        <v>416</v>
      </c>
      <c r="P18" s="297">
        <v>4482097</v>
      </c>
      <c r="Q18" s="5">
        <f t="shared" si="1"/>
        <v>416</v>
      </c>
      <c r="R18" s="5">
        <v>215</v>
      </c>
      <c r="S18" s="5">
        <v>201</v>
      </c>
    </row>
    <row r="19" spans="2:23" s="5" customFormat="1" ht="23.1" customHeight="1">
      <c r="B19" s="125">
        <v>6</v>
      </c>
      <c r="C19" s="100">
        <v>50000</v>
      </c>
      <c r="D19" s="238" t="s">
        <v>11</v>
      </c>
      <c r="E19" s="366" t="s">
        <v>12</v>
      </c>
      <c r="F19" s="323">
        <v>164</v>
      </c>
      <c r="G19" s="274">
        <v>1129372</v>
      </c>
      <c r="H19" s="309">
        <v>164</v>
      </c>
      <c r="I19" s="276">
        <v>1120674</v>
      </c>
      <c r="J19" s="71">
        <f t="shared" si="2"/>
        <v>0</v>
      </c>
      <c r="K19" s="71">
        <f t="shared" si="2"/>
        <v>-0.77016253280584124</v>
      </c>
      <c r="L19" s="127" t="s">
        <v>145</v>
      </c>
      <c r="N19" s="38" t="s">
        <v>199</v>
      </c>
      <c r="O19" s="285">
        <v>415</v>
      </c>
      <c r="P19" s="297">
        <v>2721488</v>
      </c>
      <c r="Q19" s="5">
        <f t="shared" si="1"/>
        <v>415</v>
      </c>
      <c r="R19" s="5">
        <v>210</v>
      </c>
      <c r="S19" s="5">
        <v>205</v>
      </c>
    </row>
    <row r="20" spans="2:23" s="5" customFormat="1" ht="23.1" customHeight="1">
      <c r="B20" s="125">
        <v>7</v>
      </c>
      <c r="C20" s="100">
        <v>50000</v>
      </c>
      <c r="D20" s="238" t="s">
        <v>11</v>
      </c>
      <c r="E20" s="366"/>
      <c r="F20" s="323">
        <v>214</v>
      </c>
      <c r="G20" s="274">
        <v>1279688</v>
      </c>
      <c r="H20" s="309">
        <v>219</v>
      </c>
      <c r="I20" s="276">
        <v>1627128</v>
      </c>
      <c r="J20" s="71">
        <f t="shared" si="2"/>
        <v>2.3364485981308434</v>
      </c>
      <c r="K20" s="71">
        <f t="shared" si="2"/>
        <v>27.150367902176157</v>
      </c>
      <c r="L20" s="127" t="s">
        <v>145</v>
      </c>
      <c r="N20" s="37" t="s">
        <v>203</v>
      </c>
      <c r="O20" s="285">
        <v>506</v>
      </c>
      <c r="P20" s="297">
        <v>3408310</v>
      </c>
      <c r="Q20" s="5">
        <f t="shared" si="1"/>
        <v>506</v>
      </c>
      <c r="R20" s="5">
        <v>249</v>
      </c>
      <c r="S20" s="5">
        <v>257</v>
      </c>
    </row>
    <row r="21" spans="2:23" s="5" customFormat="1" ht="23.1" customHeight="1">
      <c r="B21" s="125">
        <v>8</v>
      </c>
      <c r="C21" s="100">
        <v>30000</v>
      </c>
      <c r="D21" s="238" t="s">
        <v>11</v>
      </c>
      <c r="E21" s="366"/>
      <c r="F21" s="323">
        <v>151</v>
      </c>
      <c r="G21" s="274">
        <v>877598</v>
      </c>
      <c r="H21" s="309">
        <v>168</v>
      </c>
      <c r="I21" s="276">
        <v>948297</v>
      </c>
      <c r="J21" s="71">
        <f t="shared" si="2"/>
        <v>11.258278145695357</v>
      </c>
      <c r="K21" s="71">
        <f t="shared" si="2"/>
        <v>8.0559663991941761</v>
      </c>
      <c r="L21" s="127" t="s">
        <v>145</v>
      </c>
      <c r="N21" s="37" t="s">
        <v>204</v>
      </c>
      <c r="O21" s="285">
        <v>368</v>
      </c>
      <c r="P21" s="297">
        <v>2034478</v>
      </c>
      <c r="Q21" s="5">
        <f t="shared" si="1"/>
        <v>368</v>
      </c>
      <c r="R21" s="5">
        <v>186</v>
      </c>
      <c r="S21" s="5">
        <v>182</v>
      </c>
    </row>
    <row r="22" spans="2:23" s="5" customFormat="1" ht="23.1" customHeight="1">
      <c r="B22" s="125">
        <v>9</v>
      </c>
      <c r="C22" s="100">
        <v>30000</v>
      </c>
      <c r="D22" s="238" t="s">
        <v>11</v>
      </c>
      <c r="E22" s="366"/>
      <c r="F22" s="323">
        <v>251</v>
      </c>
      <c r="G22" s="274">
        <v>195364</v>
      </c>
      <c r="H22" s="309">
        <v>293</v>
      </c>
      <c r="I22" s="276">
        <v>229044</v>
      </c>
      <c r="J22" s="71">
        <f t="shared" si="2"/>
        <v>16.733067729083672</v>
      </c>
      <c r="K22" s="71">
        <f t="shared" si="2"/>
        <v>17.239614258512319</v>
      </c>
      <c r="L22" s="127" t="s">
        <v>145</v>
      </c>
      <c r="N22" s="37" t="s">
        <v>208</v>
      </c>
      <c r="O22" s="285">
        <v>639</v>
      </c>
      <c r="P22" s="297">
        <v>509223</v>
      </c>
      <c r="Q22" s="5">
        <f t="shared" si="1"/>
        <v>639</v>
      </c>
      <c r="R22" s="5">
        <v>303</v>
      </c>
      <c r="S22" s="5">
        <v>336</v>
      </c>
    </row>
    <row r="23" spans="2:23" s="5" customFormat="1" ht="23.1" customHeight="1">
      <c r="B23" s="125">
        <v>10</v>
      </c>
      <c r="C23" s="100">
        <v>30000</v>
      </c>
      <c r="D23" s="239" t="s">
        <v>5</v>
      </c>
      <c r="E23" s="366" t="s">
        <v>9</v>
      </c>
      <c r="F23" s="324">
        <v>149</v>
      </c>
      <c r="G23" s="274">
        <v>517702</v>
      </c>
      <c r="H23" s="310">
        <v>139</v>
      </c>
      <c r="I23" s="276">
        <v>365596</v>
      </c>
      <c r="J23" s="71">
        <f t="shared" si="2"/>
        <v>-6.7114093959731491</v>
      </c>
      <c r="K23" s="71">
        <f t="shared" si="2"/>
        <v>-29.380995244368378</v>
      </c>
      <c r="L23" s="126"/>
      <c r="N23" s="37" t="s">
        <v>218</v>
      </c>
      <c r="O23" s="285">
        <v>366</v>
      </c>
      <c r="P23" s="297">
        <v>1099867</v>
      </c>
      <c r="Q23" s="5">
        <f>R23+S23</f>
        <v>366</v>
      </c>
      <c r="R23" s="5">
        <v>182</v>
      </c>
      <c r="S23" s="5">
        <v>184</v>
      </c>
    </row>
    <row r="24" spans="2:23" s="5" customFormat="1" ht="23.1" customHeight="1">
      <c r="B24" s="125">
        <v>11</v>
      </c>
      <c r="C24" s="100">
        <v>30000</v>
      </c>
      <c r="D24" s="239" t="s">
        <v>5</v>
      </c>
      <c r="E24" s="366"/>
      <c r="F24" s="324">
        <v>111</v>
      </c>
      <c r="G24" s="274">
        <v>285196</v>
      </c>
      <c r="H24" s="310">
        <v>147</v>
      </c>
      <c r="I24" s="276">
        <v>404871</v>
      </c>
      <c r="J24" s="71">
        <f t="shared" si="2"/>
        <v>32.432432432432421</v>
      </c>
      <c r="K24" s="71">
        <f t="shared" si="2"/>
        <v>41.96236973870603</v>
      </c>
      <c r="L24" s="126"/>
      <c r="N24" s="37" t="s">
        <v>219</v>
      </c>
      <c r="O24" s="285">
        <v>295</v>
      </c>
      <c r="P24" s="297">
        <v>810170</v>
      </c>
      <c r="Q24" s="5">
        <f t="shared" ref="Q24:Q29" si="3">R24+S24</f>
        <v>295</v>
      </c>
      <c r="R24" s="5">
        <v>149</v>
      </c>
      <c r="S24" s="5">
        <v>146</v>
      </c>
    </row>
    <row r="25" spans="2:23" s="5" customFormat="1" ht="23.1" customHeight="1">
      <c r="B25" s="125">
        <v>12</v>
      </c>
      <c r="C25" s="100">
        <v>30000</v>
      </c>
      <c r="D25" s="239" t="s">
        <v>5</v>
      </c>
      <c r="E25" s="366"/>
      <c r="F25" s="324">
        <v>224</v>
      </c>
      <c r="G25" s="274">
        <v>590263</v>
      </c>
      <c r="H25" s="310">
        <v>172</v>
      </c>
      <c r="I25" s="276">
        <v>567740</v>
      </c>
      <c r="J25" s="71">
        <f t="shared" si="2"/>
        <v>-23.214285714285708</v>
      </c>
      <c r="K25" s="71">
        <f t="shared" si="2"/>
        <v>-3.8157567050619718</v>
      </c>
      <c r="L25" s="126"/>
      <c r="N25" s="37" t="s">
        <v>220</v>
      </c>
      <c r="O25" s="285">
        <v>492</v>
      </c>
      <c r="P25" s="297">
        <v>1414677</v>
      </c>
      <c r="Q25" s="5">
        <f t="shared" si="3"/>
        <v>492</v>
      </c>
      <c r="R25" s="5">
        <v>240</v>
      </c>
      <c r="S25" s="5">
        <v>252</v>
      </c>
    </row>
    <row r="26" spans="2:23" s="5" customFormat="1" ht="23.1" customHeight="1">
      <c r="B26" s="125">
        <v>13</v>
      </c>
      <c r="C26" s="100">
        <v>30000</v>
      </c>
      <c r="D26" s="239" t="s">
        <v>7</v>
      </c>
      <c r="E26" s="238" t="s">
        <v>8</v>
      </c>
      <c r="F26" s="324">
        <v>191</v>
      </c>
      <c r="G26" s="274">
        <v>399898</v>
      </c>
      <c r="H26" s="310">
        <v>163</v>
      </c>
      <c r="I26" s="276">
        <v>329442</v>
      </c>
      <c r="J26" s="71">
        <f t="shared" si="2"/>
        <v>-14.659685863874344</v>
      </c>
      <c r="K26" s="71">
        <f t="shared" si="2"/>
        <v>-17.618492715642489</v>
      </c>
      <c r="L26" s="126"/>
      <c r="N26" s="37" t="s">
        <v>221</v>
      </c>
      <c r="O26" s="285">
        <v>454</v>
      </c>
      <c r="P26" s="297">
        <v>914424</v>
      </c>
      <c r="Q26" s="5">
        <f t="shared" si="3"/>
        <v>454</v>
      </c>
      <c r="R26" s="5">
        <v>222</v>
      </c>
      <c r="S26" s="5">
        <v>232</v>
      </c>
    </row>
    <row r="27" spans="2:23" s="5" customFormat="1" ht="23.1" customHeight="1">
      <c r="B27" s="125">
        <v>14</v>
      </c>
      <c r="C27" s="100">
        <v>30000</v>
      </c>
      <c r="D27" s="238" t="s">
        <v>97</v>
      </c>
      <c r="E27" s="366" t="s">
        <v>98</v>
      </c>
      <c r="F27" s="324">
        <v>149</v>
      </c>
      <c r="G27" s="274">
        <v>581796</v>
      </c>
      <c r="H27" s="310">
        <v>141</v>
      </c>
      <c r="I27" s="276">
        <v>661656</v>
      </c>
      <c r="J27" s="71">
        <f t="shared" si="2"/>
        <v>-5.3691275167785335</v>
      </c>
      <c r="K27" s="71">
        <f t="shared" si="2"/>
        <v>13.72646082131881</v>
      </c>
      <c r="L27" s="126"/>
      <c r="N27" s="37" t="s">
        <v>195</v>
      </c>
      <c r="O27" s="285">
        <v>411</v>
      </c>
      <c r="P27" s="297">
        <v>1569110</v>
      </c>
      <c r="Q27" s="5">
        <f t="shared" si="3"/>
        <v>411</v>
      </c>
      <c r="R27" s="5">
        <v>201</v>
      </c>
      <c r="S27" s="5">
        <v>210</v>
      </c>
    </row>
    <row r="28" spans="2:23" s="5" customFormat="1" ht="23.1" customHeight="1">
      <c r="B28" s="125">
        <v>15</v>
      </c>
      <c r="C28" s="100">
        <v>30000</v>
      </c>
      <c r="D28" s="238" t="s">
        <v>97</v>
      </c>
      <c r="E28" s="366"/>
      <c r="F28" s="324">
        <v>289</v>
      </c>
      <c r="G28" s="274">
        <v>958342</v>
      </c>
      <c r="H28" s="310">
        <v>239</v>
      </c>
      <c r="I28" s="276">
        <v>948276</v>
      </c>
      <c r="J28" s="71">
        <f t="shared" si="2"/>
        <v>-17.301038062283737</v>
      </c>
      <c r="K28" s="71">
        <f t="shared" si="2"/>
        <v>-1.0503557185221979</v>
      </c>
      <c r="L28" s="126"/>
      <c r="N28" s="37" t="s">
        <v>190</v>
      </c>
      <c r="O28" s="285">
        <v>677</v>
      </c>
      <c r="P28" s="297">
        <v>2479320</v>
      </c>
      <c r="Q28" s="5">
        <f t="shared" si="3"/>
        <v>677</v>
      </c>
      <c r="R28" s="5">
        <v>340</v>
      </c>
      <c r="S28" s="5">
        <v>337</v>
      </c>
    </row>
    <row r="29" spans="2:23" s="5" customFormat="1" ht="23.1" customHeight="1">
      <c r="B29" s="125">
        <v>16</v>
      </c>
      <c r="C29" s="100">
        <v>30000</v>
      </c>
      <c r="D29" s="238" t="s">
        <v>99</v>
      </c>
      <c r="E29" s="366"/>
      <c r="F29" s="324">
        <v>133</v>
      </c>
      <c r="G29" s="274">
        <v>427785</v>
      </c>
      <c r="H29" s="310">
        <v>168</v>
      </c>
      <c r="I29" s="276">
        <v>484142</v>
      </c>
      <c r="J29" s="71">
        <f t="shared" si="2"/>
        <v>26.315789473684205</v>
      </c>
      <c r="K29" s="71">
        <f t="shared" si="2"/>
        <v>13.174141215797647</v>
      </c>
      <c r="L29" s="126"/>
      <c r="N29" s="37" t="s">
        <v>189</v>
      </c>
      <c r="O29" s="285">
        <v>319</v>
      </c>
      <c r="P29" s="297">
        <v>1038429</v>
      </c>
      <c r="Q29" s="5">
        <f t="shared" si="3"/>
        <v>319</v>
      </c>
      <c r="R29" s="5">
        <v>161</v>
      </c>
      <c r="S29" s="5">
        <v>158</v>
      </c>
    </row>
    <row r="30" spans="2:23" s="5" customFormat="1" ht="23.1" customHeight="1">
      <c r="B30" s="125" t="s">
        <v>89</v>
      </c>
      <c r="C30" s="103" t="s">
        <v>138</v>
      </c>
      <c r="D30" s="238"/>
      <c r="E30" s="238" t="s">
        <v>94</v>
      </c>
      <c r="F30" s="306">
        <v>1022</v>
      </c>
      <c r="G30" s="274">
        <v>34858</v>
      </c>
      <c r="H30" s="280">
        <v>1418</v>
      </c>
      <c r="I30" s="276">
        <f>5215+30193</f>
        <v>35408</v>
      </c>
      <c r="J30" s="71">
        <f t="shared" si="2"/>
        <v>38.747553816046974</v>
      </c>
      <c r="K30" s="71">
        <f t="shared" si="2"/>
        <v>1.5778300533593352</v>
      </c>
      <c r="L30" s="126"/>
      <c r="N30" s="4" t="s">
        <v>327</v>
      </c>
      <c r="O30" s="285">
        <v>4052</v>
      </c>
      <c r="P30" s="284">
        <f>995+36024+347+1892+205+26340+26647</f>
        <v>92450</v>
      </c>
      <c r="Q30" s="5">
        <f>SUM(T30:U39)</f>
        <v>1983</v>
      </c>
      <c r="T30" s="5">
        <v>196</v>
      </c>
    </row>
    <row r="31" spans="2:23" s="5" customFormat="1" ht="23.1" customHeight="1">
      <c r="B31" s="128" t="s">
        <v>321</v>
      </c>
      <c r="C31" s="129" t="s">
        <v>100</v>
      </c>
      <c r="D31" s="241" t="s">
        <v>119</v>
      </c>
      <c r="E31" s="131"/>
      <c r="F31" s="257">
        <v>0</v>
      </c>
      <c r="G31" s="257">
        <v>0</v>
      </c>
      <c r="H31" s="257">
        <v>0</v>
      </c>
      <c r="I31" s="257">
        <v>0</v>
      </c>
      <c r="J31" s="257">
        <v>0</v>
      </c>
      <c r="K31" s="132">
        <v>0</v>
      </c>
      <c r="L31" s="133"/>
      <c r="N31" s="37" t="s">
        <v>241</v>
      </c>
      <c r="O31" s="5">
        <v>0</v>
      </c>
      <c r="P31" s="65">
        <v>0</v>
      </c>
      <c r="T31" s="5">
        <v>196</v>
      </c>
    </row>
    <row r="32" spans="2:23" s="3" customFormat="1" ht="15" customHeight="1">
      <c r="E32" s="49"/>
      <c r="F32" s="255"/>
      <c r="G32" s="9"/>
      <c r="H32" s="260"/>
      <c r="I32" s="266"/>
      <c r="J32" s="9"/>
      <c r="K32" s="9"/>
      <c r="N32" s="38"/>
      <c r="T32" s="3">
        <v>58</v>
      </c>
      <c r="U32" s="5"/>
      <c r="V32" s="5"/>
      <c r="W32" s="5"/>
    </row>
    <row r="33" spans="2:23" s="3" customFormat="1" ht="30" customHeight="1">
      <c r="B33" s="363" t="s">
        <v>304</v>
      </c>
      <c r="C33" s="363"/>
      <c r="E33" s="49"/>
      <c r="F33" s="255"/>
      <c r="G33" s="9"/>
      <c r="H33" s="260"/>
      <c r="I33" s="266"/>
      <c r="J33" s="9"/>
      <c r="K33" s="352" t="s">
        <v>300</v>
      </c>
      <c r="L33" s="352"/>
      <c r="T33" s="3">
        <v>46</v>
      </c>
      <c r="U33" s="5"/>
      <c r="V33" s="5"/>
      <c r="W33" s="5"/>
    </row>
    <row r="34" spans="2:23" s="4" customFormat="1" ht="20.100000000000001" customHeight="1">
      <c r="B34" s="346" t="s">
        <v>0</v>
      </c>
      <c r="C34" s="369" t="s">
        <v>1</v>
      </c>
      <c r="D34" s="347" t="s">
        <v>2</v>
      </c>
      <c r="E34" s="347" t="s">
        <v>3</v>
      </c>
      <c r="F34" s="344" t="s">
        <v>101</v>
      </c>
      <c r="G34" s="344"/>
      <c r="H34" s="344"/>
      <c r="I34" s="344"/>
      <c r="J34" s="344" t="s">
        <v>102</v>
      </c>
      <c r="K34" s="344"/>
      <c r="L34" s="339" t="s">
        <v>14</v>
      </c>
      <c r="T34" s="4">
        <v>502</v>
      </c>
      <c r="U34" s="5"/>
      <c r="V34" s="5"/>
      <c r="W34" s="5"/>
    </row>
    <row r="35" spans="2:23" s="4" customFormat="1" ht="20.100000000000001" customHeight="1">
      <c r="B35" s="348"/>
      <c r="C35" s="370"/>
      <c r="D35" s="349"/>
      <c r="E35" s="349"/>
      <c r="F35" s="354" t="str">
        <f>'총 계'!F7:G7</f>
        <v xml:space="preserve">'25.5월 누계 </v>
      </c>
      <c r="G35" s="354"/>
      <c r="H35" s="354" t="str">
        <f>'총 계'!H7:I7</f>
        <v>'26.5월 누계</v>
      </c>
      <c r="I35" s="354"/>
      <c r="J35" s="345"/>
      <c r="K35" s="345"/>
      <c r="L35" s="340"/>
      <c r="T35" s="4">
        <v>40</v>
      </c>
      <c r="U35" s="5"/>
      <c r="V35" s="5"/>
      <c r="W35" s="5"/>
    </row>
    <row r="36" spans="2:23" s="4" customFormat="1" ht="30" customHeight="1" thickBot="1">
      <c r="B36" s="368"/>
      <c r="C36" s="371"/>
      <c r="D36" s="374"/>
      <c r="E36" s="374"/>
      <c r="F36" s="250" t="s">
        <v>103</v>
      </c>
      <c r="G36" s="141" t="s">
        <v>72</v>
      </c>
      <c r="H36" s="261" t="s">
        <v>104</v>
      </c>
      <c r="I36" s="268" t="s">
        <v>74</v>
      </c>
      <c r="J36" s="141" t="s">
        <v>75</v>
      </c>
      <c r="K36" s="141" t="s">
        <v>105</v>
      </c>
      <c r="L36" s="364"/>
      <c r="T36" s="4">
        <v>17</v>
      </c>
      <c r="U36" s="5"/>
      <c r="V36" s="5"/>
      <c r="W36" s="5"/>
    </row>
    <row r="37" spans="2:23" s="4" customFormat="1" ht="23.1" customHeight="1" thickBot="1">
      <c r="B37" s="148" t="s">
        <v>334</v>
      </c>
      <c r="C37" s="149"/>
      <c r="D37" s="149"/>
      <c r="E37" s="149"/>
      <c r="F37" s="157">
        <f t="shared" ref="F37:G37" si="4">SUM(F38:F46)</f>
        <v>986</v>
      </c>
      <c r="G37" s="154">
        <f t="shared" si="4"/>
        <v>3699404</v>
      </c>
      <c r="H37" s="281">
        <f>SUM(H38:H46)</f>
        <v>969</v>
      </c>
      <c r="I37" s="271">
        <f>SUM(I38:I46)</f>
        <v>3684319</v>
      </c>
      <c r="J37" s="151">
        <f t="shared" ref="J37:K46" si="5">(H37/F37*100)-100</f>
        <v>-1.7241379310344911</v>
      </c>
      <c r="K37" s="151">
        <f>(I37/G37*100)-100</f>
        <v>-0.40776838647522595</v>
      </c>
      <c r="L37" s="152"/>
      <c r="N37" s="37"/>
      <c r="T37" s="4">
        <v>24</v>
      </c>
      <c r="U37" s="5"/>
      <c r="V37" s="5"/>
      <c r="W37" s="5"/>
    </row>
    <row r="38" spans="2:23" s="4" customFormat="1" ht="23.1" customHeight="1">
      <c r="B38" s="142">
        <v>1</v>
      </c>
      <c r="C38" s="143">
        <v>30000</v>
      </c>
      <c r="D38" s="240" t="s">
        <v>22</v>
      </c>
      <c r="E38" s="240" t="s">
        <v>144</v>
      </c>
      <c r="F38" s="325">
        <v>103</v>
      </c>
      <c r="G38" s="298">
        <v>189889</v>
      </c>
      <c r="H38" s="312">
        <v>114</v>
      </c>
      <c r="I38" s="298">
        <v>213004</v>
      </c>
      <c r="J38" s="146">
        <f t="shared" si="5"/>
        <v>10.679611650485427</v>
      </c>
      <c r="K38" s="146">
        <f t="shared" si="5"/>
        <v>12.17290101059038</v>
      </c>
      <c r="L38" s="153"/>
      <c r="N38" s="37" t="s">
        <v>196</v>
      </c>
      <c r="O38" s="286">
        <v>249</v>
      </c>
      <c r="P38" s="298">
        <v>465986</v>
      </c>
      <c r="Q38" s="5">
        <f t="shared" ref="Q38:Q46" si="6">R38+S38</f>
        <v>249</v>
      </c>
      <c r="R38" s="4">
        <v>119</v>
      </c>
      <c r="S38" s="4">
        <v>130</v>
      </c>
      <c r="T38" s="4">
        <v>70</v>
      </c>
      <c r="U38" s="5"/>
      <c r="V38" s="5"/>
      <c r="W38" s="5"/>
    </row>
    <row r="39" spans="2:23" s="4" customFormat="1" ht="23.1" customHeight="1">
      <c r="B39" s="125">
        <v>2</v>
      </c>
      <c r="C39" s="100">
        <v>30000</v>
      </c>
      <c r="D39" s="238" t="s">
        <v>22</v>
      </c>
      <c r="E39" s="238" t="s">
        <v>107</v>
      </c>
      <c r="F39" s="325">
        <v>96</v>
      </c>
      <c r="G39" s="298">
        <v>294979</v>
      </c>
      <c r="H39" s="312">
        <v>90</v>
      </c>
      <c r="I39" s="298">
        <v>291173</v>
      </c>
      <c r="J39" s="71">
        <f t="shared" si="5"/>
        <v>-6.25</v>
      </c>
      <c r="K39" s="71">
        <f t="shared" si="5"/>
        <v>-1.2902613406378123</v>
      </c>
      <c r="L39" s="134"/>
      <c r="N39" s="37" t="s">
        <v>187</v>
      </c>
      <c r="O39" s="286">
        <v>222</v>
      </c>
      <c r="P39" s="298">
        <v>695302</v>
      </c>
      <c r="Q39" s="5">
        <f t="shared" si="6"/>
        <v>222</v>
      </c>
      <c r="R39" s="4">
        <v>118</v>
      </c>
      <c r="S39" s="4">
        <v>104</v>
      </c>
      <c r="T39" s="4">
        <v>834</v>
      </c>
      <c r="U39" s="5"/>
      <c r="V39" s="5"/>
      <c r="W39" s="5"/>
    </row>
    <row r="40" spans="2:23" s="4" customFormat="1" ht="23.1" customHeight="1">
      <c r="B40" s="125">
        <v>3</v>
      </c>
      <c r="C40" s="100">
        <v>30000</v>
      </c>
      <c r="D40" s="238" t="s">
        <v>22</v>
      </c>
      <c r="E40" s="238" t="s">
        <v>143</v>
      </c>
      <c r="F40" s="325">
        <v>111</v>
      </c>
      <c r="G40" s="298">
        <v>355796</v>
      </c>
      <c r="H40" s="312">
        <v>129</v>
      </c>
      <c r="I40" s="298">
        <v>448524</v>
      </c>
      <c r="J40" s="71">
        <f t="shared" si="5"/>
        <v>16.21621621621621</v>
      </c>
      <c r="K40" s="71">
        <f t="shared" si="5"/>
        <v>26.06212548763898</v>
      </c>
      <c r="L40" s="134"/>
      <c r="N40" s="38" t="s">
        <v>183</v>
      </c>
      <c r="O40" s="286">
        <v>293</v>
      </c>
      <c r="P40" s="298">
        <v>933098</v>
      </c>
      <c r="Q40" s="5">
        <f t="shared" si="6"/>
        <v>293</v>
      </c>
      <c r="R40" s="4">
        <v>144</v>
      </c>
      <c r="S40" s="4">
        <v>149</v>
      </c>
      <c r="U40" s="5"/>
      <c r="V40" s="5"/>
      <c r="W40" s="5"/>
    </row>
    <row r="41" spans="2:23" s="4" customFormat="1" ht="23.1" customHeight="1">
      <c r="B41" s="125">
        <v>4</v>
      </c>
      <c r="C41" s="100">
        <v>30000</v>
      </c>
      <c r="D41" s="238" t="s">
        <v>159</v>
      </c>
      <c r="E41" s="366" t="s">
        <v>106</v>
      </c>
      <c r="F41" s="325">
        <v>121</v>
      </c>
      <c r="G41" s="298">
        <v>309949</v>
      </c>
      <c r="H41" s="312">
        <v>117</v>
      </c>
      <c r="I41" s="298">
        <v>268217</v>
      </c>
      <c r="J41" s="71">
        <f t="shared" si="5"/>
        <v>-3.3057851239669418</v>
      </c>
      <c r="K41" s="71">
        <f t="shared" si="5"/>
        <v>-13.464150553800792</v>
      </c>
      <c r="L41" s="126"/>
      <c r="N41" s="37" t="s">
        <v>165</v>
      </c>
      <c r="O41" s="286">
        <v>288</v>
      </c>
      <c r="P41" s="298">
        <v>790102</v>
      </c>
      <c r="Q41" s="5">
        <f t="shared" si="6"/>
        <v>288</v>
      </c>
      <c r="R41" s="4">
        <v>137</v>
      </c>
      <c r="S41" s="4">
        <v>151</v>
      </c>
      <c r="U41" s="5"/>
      <c r="V41" s="5"/>
      <c r="W41" s="5"/>
    </row>
    <row r="42" spans="2:23" s="4" customFormat="1" ht="23.1" customHeight="1">
      <c r="B42" s="125">
        <v>5</v>
      </c>
      <c r="C42" s="100">
        <v>30000</v>
      </c>
      <c r="D42" s="238" t="s">
        <v>159</v>
      </c>
      <c r="E42" s="366"/>
      <c r="F42" s="325">
        <v>140</v>
      </c>
      <c r="G42" s="298">
        <v>372574</v>
      </c>
      <c r="H42" s="312">
        <v>125</v>
      </c>
      <c r="I42" s="298">
        <v>346332</v>
      </c>
      <c r="J42" s="71">
        <f t="shared" si="5"/>
        <v>-10.714285714285708</v>
      </c>
      <c r="K42" s="71">
        <f t="shared" si="5"/>
        <v>-7.0434329824410611</v>
      </c>
      <c r="L42" s="126"/>
      <c r="N42" s="37" t="s">
        <v>166</v>
      </c>
      <c r="O42" s="286">
        <v>293</v>
      </c>
      <c r="P42" s="298">
        <v>943268</v>
      </c>
      <c r="Q42" s="5">
        <f t="shared" si="6"/>
        <v>293</v>
      </c>
      <c r="R42" s="4">
        <v>142</v>
      </c>
      <c r="S42" s="4">
        <v>151</v>
      </c>
    </row>
    <row r="43" spans="2:23" s="5" customFormat="1" ht="23.1" customHeight="1">
      <c r="B43" s="125">
        <v>6</v>
      </c>
      <c r="C43" s="100">
        <v>30000</v>
      </c>
      <c r="D43" s="238" t="s">
        <v>159</v>
      </c>
      <c r="E43" s="366" t="s">
        <v>310</v>
      </c>
      <c r="F43" s="325">
        <v>118</v>
      </c>
      <c r="G43" s="298">
        <v>286185</v>
      </c>
      <c r="H43" s="312">
        <v>112</v>
      </c>
      <c r="I43" s="298">
        <v>236082</v>
      </c>
      <c r="J43" s="71">
        <f t="shared" si="5"/>
        <v>-5.0847457627118615</v>
      </c>
      <c r="K43" s="71">
        <f t="shared" si="5"/>
        <v>-17.507206876670693</v>
      </c>
      <c r="L43" s="126"/>
      <c r="N43" s="37" t="s">
        <v>225</v>
      </c>
      <c r="O43" s="286">
        <v>291</v>
      </c>
      <c r="P43" s="298">
        <v>750286</v>
      </c>
      <c r="Q43" s="5">
        <f t="shared" si="6"/>
        <v>291</v>
      </c>
      <c r="R43" s="5">
        <v>139</v>
      </c>
      <c r="S43" s="5">
        <v>152</v>
      </c>
    </row>
    <row r="44" spans="2:23" s="5" customFormat="1" ht="23.1" customHeight="1">
      <c r="B44" s="125">
        <v>7</v>
      </c>
      <c r="C44" s="100">
        <v>30000</v>
      </c>
      <c r="D44" s="238" t="s">
        <v>159</v>
      </c>
      <c r="E44" s="366"/>
      <c r="F44" s="325">
        <v>114</v>
      </c>
      <c r="G44" s="298">
        <v>281680</v>
      </c>
      <c r="H44" s="312">
        <v>89</v>
      </c>
      <c r="I44" s="298">
        <v>291122</v>
      </c>
      <c r="J44" s="71">
        <f t="shared" si="5"/>
        <v>-21.929824561403507</v>
      </c>
      <c r="K44" s="71">
        <f t="shared" si="5"/>
        <v>3.3520306731042382</v>
      </c>
      <c r="L44" s="126"/>
      <c r="N44" s="37" t="s">
        <v>226</v>
      </c>
      <c r="O44" s="286">
        <v>246</v>
      </c>
      <c r="P44" s="298">
        <v>687576</v>
      </c>
      <c r="Q44" s="5">
        <f t="shared" si="6"/>
        <v>246</v>
      </c>
      <c r="R44" s="5">
        <v>114</v>
      </c>
      <c r="S44" s="5">
        <v>132</v>
      </c>
    </row>
    <row r="45" spans="2:23" s="5" customFormat="1" ht="23.1" customHeight="1">
      <c r="B45" s="125">
        <v>8</v>
      </c>
      <c r="C45" s="100">
        <v>50000</v>
      </c>
      <c r="D45" s="238" t="s">
        <v>108</v>
      </c>
      <c r="E45" s="366" t="s">
        <v>140</v>
      </c>
      <c r="F45" s="325">
        <v>104</v>
      </c>
      <c r="G45" s="298">
        <v>827079</v>
      </c>
      <c r="H45" s="312">
        <v>101</v>
      </c>
      <c r="I45" s="298">
        <v>749645</v>
      </c>
      <c r="J45" s="71">
        <f t="shared" si="5"/>
        <v>-2.8846153846153868</v>
      </c>
      <c r="K45" s="71">
        <f t="shared" si="5"/>
        <v>-9.3623462813104936</v>
      </c>
      <c r="L45" s="126"/>
      <c r="N45" s="37" t="s">
        <v>185</v>
      </c>
      <c r="O45" s="286">
        <v>246</v>
      </c>
      <c r="P45" s="298">
        <v>2111020</v>
      </c>
      <c r="Q45" s="5">
        <f t="shared" si="6"/>
        <v>246</v>
      </c>
      <c r="R45" s="5">
        <v>120</v>
      </c>
      <c r="S45" s="5">
        <v>126</v>
      </c>
    </row>
    <row r="46" spans="2:23" s="5" customFormat="1" ht="23.1" customHeight="1">
      <c r="B46" s="128">
        <v>9</v>
      </c>
      <c r="C46" s="135">
        <v>50000</v>
      </c>
      <c r="D46" s="241" t="s">
        <v>108</v>
      </c>
      <c r="E46" s="373"/>
      <c r="F46" s="325">
        <v>79</v>
      </c>
      <c r="G46" s="299">
        <v>781273</v>
      </c>
      <c r="H46" s="312">
        <v>92</v>
      </c>
      <c r="I46" s="299">
        <v>840220</v>
      </c>
      <c r="J46" s="80">
        <f t="shared" si="5"/>
        <v>16.455696202531641</v>
      </c>
      <c r="K46" s="80">
        <f t="shared" si="5"/>
        <v>7.5449938753802996</v>
      </c>
      <c r="L46" s="133"/>
      <c r="N46" s="37" t="s">
        <v>184</v>
      </c>
      <c r="O46" s="286">
        <v>193</v>
      </c>
      <c r="P46" s="299">
        <v>1831533</v>
      </c>
      <c r="Q46" s="5">
        <f t="shared" si="6"/>
        <v>193</v>
      </c>
      <c r="R46" s="5">
        <v>98</v>
      </c>
      <c r="S46" s="5">
        <v>95</v>
      </c>
    </row>
    <row r="47" spans="2:23" s="3" customFormat="1" ht="15" customHeight="1">
      <c r="B47" s="1"/>
      <c r="C47" s="1"/>
      <c r="D47" s="1"/>
      <c r="E47" s="1"/>
      <c r="F47" s="255"/>
      <c r="G47" s="9"/>
      <c r="H47" s="260"/>
      <c r="I47" s="266"/>
      <c r="J47" s="9"/>
      <c r="K47" s="9"/>
    </row>
    <row r="48" spans="2:23" s="3" customFormat="1" ht="30" customHeight="1">
      <c r="B48" s="363" t="s">
        <v>305</v>
      </c>
      <c r="C48" s="363"/>
      <c r="E48" s="49"/>
      <c r="F48" s="255"/>
      <c r="G48" s="9"/>
      <c r="H48" s="260"/>
      <c r="I48" s="266"/>
      <c r="J48" s="9"/>
      <c r="K48" s="352" t="s">
        <v>300</v>
      </c>
      <c r="L48" s="352"/>
    </row>
    <row r="49" spans="2:256" s="4" customFormat="1" ht="20.100000000000001" customHeight="1">
      <c r="B49" s="346" t="s">
        <v>0</v>
      </c>
      <c r="C49" s="369" t="s">
        <v>1</v>
      </c>
      <c r="D49" s="347" t="s">
        <v>2</v>
      </c>
      <c r="E49" s="347" t="s">
        <v>3</v>
      </c>
      <c r="F49" s="344" t="s">
        <v>101</v>
      </c>
      <c r="G49" s="344"/>
      <c r="H49" s="344"/>
      <c r="I49" s="344"/>
      <c r="J49" s="344" t="s">
        <v>102</v>
      </c>
      <c r="K49" s="344"/>
      <c r="L49" s="339" t="s">
        <v>14</v>
      </c>
    </row>
    <row r="50" spans="2:256" s="4" customFormat="1" ht="20.100000000000001" customHeight="1">
      <c r="B50" s="348"/>
      <c r="C50" s="370"/>
      <c r="D50" s="349"/>
      <c r="E50" s="349"/>
      <c r="F50" s="354" t="str">
        <f>'총 계'!F7:G7</f>
        <v xml:space="preserve">'25.5월 누계 </v>
      </c>
      <c r="G50" s="354"/>
      <c r="H50" s="354" t="str">
        <f>'총 계'!H7:I7</f>
        <v>'26.5월 누계</v>
      </c>
      <c r="I50" s="354"/>
      <c r="J50" s="345"/>
      <c r="K50" s="345"/>
      <c r="L50" s="340"/>
    </row>
    <row r="51" spans="2:256" s="4" customFormat="1" ht="24.75" thickBot="1">
      <c r="B51" s="368"/>
      <c r="C51" s="371"/>
      <c r="D51" s="374"/>
      <c r="E51" s="374"/>
      <c r="F51" s="250" t="s">
        <v>103</v>
      </c>
      <c r="G51" s="141" t="s">
        <v>72</v>
      </c>
      <c r="H51" s="261" t="s">
        <v>104</v>
      </c>
      <c r="I51" s="268" t="s">
        <v>74</v>
      </c>
      <c r="J51" s="141" t="s">
        <v>75</v>
      </c>
      <c r="K51" s="141" t="s">
        <v>105</v>
      </c>
      <c r="L51" s="364"/>
    </row>
    <row r="52" spans="2:256" s="4" customFormat="1" ht="23.1" customHeight="1" thickBot="1">
      <c r="B52" s="148" t="s">
        <v>333</v>
      </c>
      <c r="C52" s="156"/>
      <c r="D52" s="149"/>
      <c r="E52" s="149"/>
      <c r="F52" s="157">
        <f>SUM(F53:F61)</f>
        <v>973</v>
      </c>
      <c r="G52" s="157">
        <f>SUM(G53:G61)</f>
        <v>2311292</v>
      </c>
      <c r="H52" s="262">
        <f>SUM(H53:H61)</f>
        <v>678</v>
      </c>
      <c r="I52" s="271">
        <f>SUM(I53:I61)</f>
        <v>1871018</v>
      </c>
      <c r="J52" s="151">
        <f t="shared" ref="J52:K60" si="7">(H52/F52*100)-100</f>
        <v>-30.318602261048298</v>
      </c>
      <c r="K52" s="151">
        <f t="shared" si="7"/>
        <v>-19.048826370705214</v>
      </c>
      <c r="L52" s="152"/>
    </row>
    <row r="53" spans="2:256" s="5" customFormat="1" ht="23.1" customHeight="1">
      <c r="B53" s="142">
        <v>1</v>
      </c>
      <c r="C53" s="143">
        <v>5000</v>
      </c>
      <c r="D53" s="240" t="s">
        <v>149</v>
      </c>
      <c r="E53" s="365" t="s">
        <v>109</v>
      </c>
      <c r="F53" s="326">
        <v>69</v>
      </c>
      <c r="G53" s="297">
        <v>7218</v>
      </c>
      <c r="H53" s="313">
        <v>23</v>
      </c>
      <c r="I53" s="297">
        <v>12430</v>
      </c>
      <c r="J53" s="155" t="s">
        <v>296</v>
      </c>
      <c r="K53" s="155" t="s">
        <v>296</v>
      </c>
      <c r="L53" s="147"/>
      <c r="N53" s="37" t="s">
        <v>222</v>
      </c>
      <c r="O53" s="287">
        <v>104</v>
      </c>
      <c r="P53" s="297">
        <v>62326</v>
      </c>
      <c r="Q53" s="5">
        <f t="shared" ref="Q53:Q61" si="8">R53+S53</f>
        <v>104</v>
      </c>
      <c r="R53" s="5">
        <v>50</v>
      </c>
      <c r="S53" s="5">
        <v>54</v>
      </c>
    </row>
    <row r="54" spans="2:256" s="5" customFormat="1" ht="23.1" customHeight="1">
      <c r="B54" s="125">
        <v>2</v>
      </c>
      <c r="C54" s="100">
        <v>50000</v>
      </c>
      <c r="D54" s="238" t="s">
        <v>149</v>
      </c>
      <c r="E54" s="366"/>
      <c r="F54" s="326">
        <v>101</v>
      </c>
      <c r="G54" s="297">
        <v>207832</v>
      </c>
      <c r="H54" s="313">
        <v>68</v>
      </c>
      <c r="I54" s="297">
        <v>100028</v>
      </c>
      <c r="J54" s="71">
        <f>(H54/F54*100)-100</f>
        <v>-32.67326732673267</v>
      </c>
      <c r="K54" s="71">
        <f>(I54/G54*100)-100</f>
        <v>-51.870741752954309</v>
      </c>
      <c r="L54" s="126"/>
      <c r="N54" s="37" t="s">
        <v>206</v>
      </c>
      <c r="O54" s="287">
        <v>248</v>
      </c>
      <c r="P54" s="297">
        <v>381813</v>
      </c>
      <c r="Q54" s="5">
        <f t="shared" si="8"/>
        <v>248</v>
      </c>
      <c r="R54" s="5">
        <v>120</v>
      </c>
      <c r="S54" s="5">
        <v>128</v>
      </c>
    </row>
    <row r="55" spans="2:256" s="5" customFormat="1" ht="23.1" customHeight="1">
      <c r="B55" s="125">
        <v>3</v>
      </c>
      <c r="C55" s="100">
        <v>50000</v>
      </c>
      <c r="D55" s="238" t="s">
        <v>149</v>
      </c>
      <c r="E55" s="366"/>
      <c r="F55" s="326">
        <v>243</v>
      </c>
      <c r="G55" s="297">
        <v>491215</v>
      </c>
      <c r="H55" s="313">
        <v>212</v>
      </c>
      <c r="I55" s="297">
        <v>445565</v>
      </c>
      <c r="J55" s="71">
        <f t="shared" si="7"/>
        <v>-12.757201646090536</v>
      </c>
      <c r="K55" s="71">
        <f t="shared" si="7"/>
        <v>-9.2932829819936273</v>
      </c>
      <c r="L55" s="126"/>
      <c r="N55" s="38" t="s">
        <v>182</v>
      </c>
      <c r="O55" s="287">
        <v>533</v>
      </c>
      <c r="P55" s="297">
        <v>1082209</v>
      </c>
      <c r="Q55" s="5">
        <f t="shared" si="8"/>
        <v>533</v>
      </c>
      <c r="R55" s="5">
        <v>238</v>
      </c>
      <c r="S55" s="5">
        <v>295</v>
      </c>
    </row>
    <row r="56" spans="2:256" s="5" customFormat="1" ht="23.1" customHeight="1">
      <c r="B56" s="125">
        <v>4</v>
      </c>
      <c r="C56" s="100">
        <v>50000</v>
      </c>
      <c r="D56" s="238" t="s">
        <v>149</v>
      </c>
      <c r="E56" s="366"/>
      <c r="F56" s="326">
        <v>40</v>
      </c>
      <c r="G56" s="297">
        <v>78855</v>
      </c>
      <c r="H56" s="313">
        <v>36</v>
      </c>
      <c r="I56" s="297">
        <v>83456</v>
      </c>
      <c r="J56" s="71">
        <f t="shared" si="7"/>
        <v>-10</v>
      </c>
      <c r="K56" s="71">
        <f t="shared" si="7"/>
        <v>5.8347600025363136</v>
      </c>
      <c r="L56" s="126"/>
      <c r="N56" s="38" t="s">
        <v>181</v>
      </c>
      <c r="O56" s="287">
        <v>99</v>
      </c>
      <c r="P56" s="297">
        <v>186772</v>
      </c>
      <c r="Q56" s="5">
        <f t="shared" si="8"/>
        <v>99</v>
      </c>
      <c r="R56" s="5">
        <v>54</v>
      </c>
      <c r="S56" s="5">
        <v>45</v>
      </c>
    </row>
    <row r="57" spans="2:256" s="5" customFormat="1" ht="23.1" customHeight="1">
      <c r="B57" s="125">
        <v>5</v>
      </c>
      <c r="C57" s="100">
        <v>30000</v>
      </c>
      <c r="D57" s="238" t="s">
        <v>149</v>
      </c>
      <c r="E57" s="366"/>
      <c r="F57" s="326">
        <v>37</v>
      </c>
      <c r="G57" s="297">
        <v>187212</v>
      </c>
      <c r="H57" s="313">
        <v>25</v>
      </c>
      <c r="I57" s="297">
        <v>142905</v>
      </c>
      <c r="J57" s="71">
        <f t="shared" si="7"/>
        <v>-32.432432432432435</v>
      </c>
      <c r="K57" s="71">
        <f t="shared" si="7"/>
        <v>-23.66675213127364</v>
      </c>
      <c r="L57" s="126"/>
      <c r="N57" s="37" t="s">
        <v>180</v>
      </c>
      <c r="O57" s="287">
        <v>78</v>
      </c>
      <c r="P57" s="297">
        <v>397902</v>
      </c>
      <c r="Q57" s="5">
        <f t="shared" si="8"/>
        <v>78</v>
      </c>
      <c r="R57" s="5">
        <v>40</v>
      </c>
      <c r="S57" s="5">
        <v>38</v>
      </c>
    </row>
    <row r="58" spans="2:256" s="5" customFormat="1" ht="23.1" customHeight="1">
      <c r="B58" s="125">
        <v>6</v>
      </c>
      <c r="C58" s="100">
        <v>30000</v>
      </c>
      <c r="D58" s="238" t="s">
        <v>149</v>
      </c>
      <c r="E58" s="366"/>
      <c r="F58" s="326">
        <v>29</v>
      </c>
      <c r="G58" s="297">
        <v>140097</v>
      </c>
      <c r="H58" s="313">
        <v>35</v>
      </c>
      <c r="I58" s="297">
        <v>80890</v>
      </c>
      <c r="J58" s="71">
        <f t="shared" si="7"/>
        <v>20.689655172413794</v>
      </c>
      <c r="K58" s="71">
        <f t="shared" si="7"/>
        <v>-42.261433149889008</v>
      </c>
      <c r="L58" s="126"/>
      <c r="N58" s="37" t="s">
        <v>179</v>
      </c>
      <c r="O58" s="287">
        <v>72</v>
      </c>
      <c r="P58" s="297">
        <v>296380</v>
      </c>
      <c r="Q58" s="5">
        <f t="shared" si="8"/>
        <v>72</v>
      </c>
      <c r="R58" s="5">
        <v>38</v>
      </c>
      <c r="S58" s="5">
        <v>34</v>
      </c>
    </row>
    <row r="59" spans="2:256" s="5" customFormat="1" ht="23.1" customHeight="1">
      <c r="B59" s="125">
        <v>7</v>
      </c>
      <c r="C59" s="100">
        <v>30000</v>
      </c>
      <c r="D59" s="238" t="s">
        <v>110</v>
      </c>
      <c r="E59" s="238" t="s">
        <v>111</v>
      </c>
      <c r="F59" s="326">
        <v>91</v>
      </c>
      <c r="G59" s="297">
        <v>400102</v>
      </c>
      <c r="H59" s="313">
        <v>85</v>
      </c>
      <c r="I59" s="297">
        <v>224454</v>
      </c>
      <c r="J59" s="71">
        <f t="shared" si="7"/>
        <v>-6.5934065934065984</v>
      </c>
      <c r="K59" s="71">
        <f t="shared" si="7"/>
        <v>-43.900805294649871</v>
      </c>
      <c r="L59" s="126"/>
      <c r="N59" s="37" t="s">
        <v>178</v>
      </c>
      <c r="O59" s="287">
        <v>239</v>
      </c>
      <c r="P59" s="297">
        <v>1056772</v>
      </c>
      <c r="Q59" s="5">
        <f t="shared" si="8"/>
        <v>239</v>
      </c>
      <c r="R59" s="5">
        <v>118</v>
      </c>
      <c r="S59" s="5">
        <v>121</v>
      </c>
    </row>
    <row r="60" spans="2:256" s="5" customFormat="1" ht="23.1" customHeight="1">
      <c r="B60" s="125">
        <v>8</v>
      </c>
      <c r="C60" s="100">
        <v>50000</v>
      </c>
      <c r="D60" s="238" t="s">
        <v>110</v>
      </c>
      <c r="E60" s="105" t="s">
        <v>112</v>
      </c>
      <c r="F60" s="326">
        <v>157</v>
      </c>
      <c r="G60" s="297">
        <v>371876</v>
      </c>
      <c r="H60" s="313">
        <v>78</v>
      </c>
      <c r="I60" s="297">
        <v>266807</v>
      </c>
      <c r="J60" s="71">
        <f t="shared" si="7"/>
        <v>-50.318471337579616</v>
      </c>
      <c r="K60" s="71">
        <f t="shared" si="7"/>
        <v>-28.253772762964005</v>
      </c>
      <c r="L60" s="126"/>
      <c r="N60" s="37" t="s">
        <v>177</v>
      </c>
      <c r="O60" s="287">
        <v>329</v>
      </c>
      <c r="P60" s="297">
        <v>816723</v>
      </c>
      <c r="Q60" s="5">
        <f t="shared" si="8"/>
        <v>329</v>
      </c>
      <c r="R60" s="5">
        <v>171</v>
      </c>
      <c r="S60" s="5">
        <v>158</v>
      </c>
    </row>
    <row r="61" spans="2:256" s="5" customFormat="1" ht="23.1" customHeight="1">
      <c r="B61" s="128">
        <v>9</v>
      </c>
      <c r="C61" s="135">
        <v>50000</v>
      </c>
      <c r="D61" s="241" t="s">
        <v>149</v>
      </c>
      <c r="E61" s="241" t="s">
        <v>113</v>
      </c>
      <c r="F61" s="326">
        <v>206</v>
      </c>
      <c r="G61" s="300">
        <v>426885</v>
      </c>
      <c r="H61" s="313">
        <v>116</v>
      </c>
      <c r="I61" s="300">
        <v>514483</v>
      </c>
      <c r="J61" s="80">
        <f>(H61/F61*100)-100</f>
        <v>-43.689320388349515</v>
      </c>
      <c r="K61" s="80">
        <f>(I61/G61*100)-100</f>
        <v>20.520280637642458</v>
      </c>
      <c r="L61" s="133"/>
      <c r="N61" s="37" t="s">
        <v>194</v>
      </c>
      <c r="O61" s="287">
        <v>381</v>
      </c>
      <c r="P61" s="300">
        <v>1158127</v>
      </c>
      <c r="Q61" s="5">
        <f t="shared" si="8"/>
        <v>381</v>
      </c>
      <c r="R61" s="5">
        <v>190</v>
      </c>
      <c r="S61" s="5">
        <v>191</v>
      </c>
      <c r="IV61" s="5">
        <f>SUM(B61:IU61)</f>
        <v>2150945.8309602495</v>
      </c>
    </row>
    <row r="62" spans="2:256" s="3" customFormat="1" ht="15" customHeight="1">
      <c r="E62" s="49"/>
      <c r="F62" s="255"/>
      <c r="G62" s="9"/>
      <c r="H62" s="260"/>
      <c r="I62" s="266"/>
      <c r="J62" s="9"/>
      <c r="K62" s="9"/>
      <c r="N62" s="37"/>
    </row>
    <row r="63" spans="2:256" s="3" customFormat="1" ht="30" customHeight="1">
      <c r="B63" s="363" t="s">
        <v>306</v>
      </c>
      <c r="C63" s="363"/>
      <c r="E63" s="49"/>
      <c r="F63" s="255"/>
      <c r="G63" s="9"/>
      <c r="H63" s="260"/>
      <c r="I63" s="266"/>
      <c r="J63" s="9"/>
      <c r="K63" s="352" t="s">
        <v>300</v>
      </c>
      <c r="L63" s="352"/>
    </row>
    <row r="64" spans="2:256" s="4" customFormat="1" ht="20.100000000000001" customHeight="1">
      <c r="B64" s="346" t="s">
        <v>0</v>
      </c>
      <c r="C64" s="369" t="s">
        <v>1</v>
      </c>
      <c r="D64" s="347" t="s">
        <v>2</v>
      </c>
      <c r="E64" s="347" t="s">
        <v>3</v>
      </c>
      <c r="F64" s="344" t="s">
        <v>101</v>
      </c>
      <c r="G64" s="344"/>
      <c r="H64" s="344"/>
      <c r="I64" s="344"/>
      <c r="J64" s="344" t="s">
        <v>102</v>
      </c>
      <c r="K64" s="344"/>
      <c r="L64" s="339" t="s">
        <v>14</v>
      </c>
    </row>
    <row r="65" spans="2:19" s="4" customFormat="1" ht="20.100000000000001" customHeight="1">
      <c r="B65" s="348"/>
      <c r="C65" s="370"/>
      <c r="D65" s="349"/>
      <c r="E65" s="349"/>
      <c r="F65" s="354" t="str">
        <f>'총 계'!F7:G7</f>
        <v xml:space="preserve">'25.5월 누계 </v>
      </c>
      <c r="G65" s="354"/>
      <c r="H65" s="354" t="str">
        <f>'총 계'!H7:I7</f>
        <v>'26.5월 누계</v>
      </c>
      <c r="I65" s="354"/>
      <c r="J65" s="345"/>
      <c r="K65" s="345"/>
      <c r="L65" s="340"/>
    </row>
    <row r="66" spans="2:19" s="4" customFormat="1" ht="30" customHeight="1" thickBot="1">
      <c r="B66" s="368"/>
      <c r="C66" s="371"/>
      <c r="D66" s="374"/>
      <c r="E66" s="374"/>
      <c r="F66" s="250" t="s">
        <v>103</v>
      </c>
      <c r="G66" s="141" t="s">
        <v>72</v>
      </c>
      <c r="H66" s="261" t="s">
        <v>104</v>
      </c>
      <c r="I66" s="268" t="s">
        <v>74</v>
      </c>
      <c r="J66" s="141" t="s">
        <v>75</v>
      </c>
      <c r="K66" s="141" t="s">
        <v>105</v>
      </c>
      <c r="L66" s="364"/>
    </row>
    <row r="67" spans="2:19" s="4" customFormat="1" ht="23.1" customHeight="1" thickBot="1">
      <c r="B67" s="148" t="s">
        <v>334</v>
      </c>
      <c r="C67" s="149"/>
      <c r="D67" s="149"/>
      <c r="E67" s="149"/>
      <c r="F67" s="157">
        <f>SUM(F68:F80)</f>
        <v>1098</v>
      </c>
      <c r="G67" s="157">
        <f>SUM(G68:G80)</f>
        <v>15474130</v>
      </c>
      <c r="H67" s="262">
        <f>SUM(H68:H80)</f>
        <v>1073</v>
      </c>
      <c r="I67" s="271">
        <f>SUM(I68:I80)</f>
        <v>15281559</v>
      </c>
      <c r="J67" s="151">
        <f t="shared" ref="J67:K80" si="9">(H67/F67*100)-100</f>
        <v>-2.2768670309653913</v>
      </c>
      <c r="K67" s="151">
        <f t="shared" si="9"/>
        <v>-1.2444706099793592</v>
      </c>
      <c r="L67" s="152"/>
    </row>
    <row r="68" spans="2:19" s="4" customFormat="1" ht="23.1" customHeight="1">
      <c r="B68" s="142">
        <v>1</v>
      </c>
      <c r="C68" s="143">
        <v>5000</v>
      </c>
      <c r="D68" s="240" t="s">
        <v>146</v>
      </c>
      <c r="E68" s="365" t="s">
        <v>13</v>
      </c>
      <c r="F68" s="327">
        <v>25</v>
      </c>
      <c r="G68" s="297">
        <v>188299</v>
      </c>
      <c r="H68" s="314">
        <v>32</v>
      </c>
      <c r="I68" s="297">
        <v>235467</v>
      </c>
      <c r="J68" s="146">
        <f>(H68/F68*100)-100</f>
        <v>28</v>
      </c>
      <c r="K68" s="146">
        <f t="shared" si="9"/>
        <v>25.049522302295827</v>
      </c>
      <c r="L68" s="153"/>
      <c r="N68" s="37" t="s">
        <v>191</v>
      </c>
      <c r="O68" s="289">
        <v>73</v>
      </c>
      <c r="P68" s="297">
        <v>522735</v>
      </c>
      <c r="Q68" s="5">
        <f t="shared" ref="Q68:Q80" si="10">R68+S68</f>
        <v>73</v>
      </c>
      <c r="R68" s="4">
        <v>59</v>
      </c>
      <c r="S68" s="4">
        <v>14</v>
      </c>
    </row>
    <row r="69" spans="2:19" s="4" customFormat="1" ht="23.1" customHeight="1">
      <c r="B69" s="125">
        <v>2</v>
      </c>
      <c r="C69" s="100">
        <v>3000</v>
      </c>
      <c r="D69" s="238" t="s">
        <v>114</v>
      </c>
      <c r="E69" s="366"/>
      <c r="F69" s="327">
        <v>74</v>
      </c>
      <c r="G69" s="297">
        <v>69974</v>
      </c>
      <c r="H69" s="314">
        <v>69</v>
      </c>
      <c r="I69" s="297">
        <v>64921</v>
      </c>
      <c r="J69" s="146">
        <f t="shared" ref="J69" si="11">(H69/F69*100)-100</f>
        <v>-6.7567567567567579</v>
      </c>
      <c r="K69" s="71">
        <f t="shared" si="9"/>
        <v>-7.2212536084831527</v>
      </c>
      <c r="L69" s="134"/>
      <c r="N69" s="37" t="s">
        <v>192</v>
      </c>
      <c r="O69" s="289">
        <v>187</v>
      </c>
      <c r="P69" s="297">
        <v>167758</v>
      </c>
      <c r="Q69" s="5">
        <f t="shared" si="10"/>
        <v>187</v>
      </c>
      <c r="R69" s="4">
        <v>91</v>
      </c>
      <c r="S69" s="4">
        <v>96</v>
      </c>
    </row>
    <row r="70" spans="2:19" s="4" customFormat="1" ht="23.1" customHeight="1">
      <c r="B70" s="125">
        <v>3</v>
      </c>
      <c r="C70" s="100">
        <v>5000</v>
      </c>
      <c r="D70" s="238" t="s">
        <v>149</v>
      </c>
      <c r="E70" s="366"/>
      <c r="F70" s="71"/>
      <c r="G70" s="71">
        <v>0</v>
      </c>
      <c r="H70" s="71">
        <v>0</v>
      </c>
      <c r="I70" s="293"/>
      <c r="J70" s="146">
        <v>0</v>
      </c>
      <c r="K70" s="71">
        <v>0</v>
      </c>
      <c r="L70" s="134"/>
      <c r="N70" s="37" t="s">
        <v>193</v>
      </c>
      <c r="O70" s="288">
        <v>0</v>
      </c>
      <c r="P70" s="288">
        <v>0</v>
      </c>
      <c r="Q70" s="5">
        <f t="shared" si="10"/>
        <v>0</v>
      </c>
    </row>
    <row r="71" spans="2:19" s="4" customFormat="1" ht="23.1" customHeight="1">
      <c r="B71" s="125">
        <v>4</v>
      </c>
      <c r="C71" s="100">
        <v>200000</v>
      </c>
      <c r="D71" s="238" t="s">
        <v>147</v>
      </c>
      <c r="E71" s="366"/>
      <c r="F71" s="328">
        <v>117</v>
      </c>
      <c r="G71" s="297">
        <v>4707855</v>
      </c>
      <c r="H71" s="315">
        <v>123</v>
      </c>
      <c r="I71" s="297">
        <v>4918799</v>
      </c>
      <c r="J71" s="146">
        <f t="shared" ref="J71:J76" si="12">(H71/F71*100)-100</f>
        <v>5.1282051282051384</v>
      </c>
      <c r="K71" s="71">
        <f t="shared" si="9"/>
        <v>4.4806817542171586</v>
      </c>
      <c r="L71" s="134"/>
      <c r="N71" s="38" t="s">
        <v>197</v>
      </c>
      <c r="O71" s="289">
        <v>308</v>
      </c>
      <c r="P71" s="297">
        <v>11964177</v>
      </c>
      <c r="Q71" s="5">
        <f t="shared" si="10"/>
        <v>308</v>
      </c>
      <c r="R71" s="4">
        <v>151</v>
      </c>
      <c r="S71" s="4">
        <v>157</v>
      </c>
    </row>
    <row r="72" spans="2:19" s="4" customFormat="1" ht="23.1" customHeight="1">
      <c r="B72" s="125">
        <v>5</v>
      </c>
      <c r="C72" s="100">
        <v>100000</v>
      </c>
      <c r="D72" s="238" t="s">
        <v>148</v>
      </c>
      <c r="E72" s="366"/>
      <c r="F72" s="328">
        <v>110</v>
      </c>
      <c r="G72" s="297">
        <v>5126829</v>
      </c>
      <c r="H72" s="315">
        <v>118</v>
      </c>
      <c r="I72" s="297">
        <v>4925125</v>
      </c>
      <c r="J72" s="146">
        <f t="shared" si="12"/>
        <v>7.2727272727272805</v>
      </c>
      <c r="K72" s="71">
        <f t="shared" si="9"/>
        <v>-3.9342837453716442</v>
      </c>
      <c r="L72" s="134"/>
      <c r="N72" s="37" t="s">
        <v>175</v>
      </c>
      <c r="O72" s="289">
        <v>259</v>
      </c>
      <c r="P72" s="297">
        <v>11610184</v>
      </c>
      <c r="Q72" s="5">
        <f t="shared" si="10"/>
        <v>259</v>
      </c>
      <c r="R72" s="4">
        <v>133</v>
      </c>
      <c r="S72" s="4">
        <v>126</v>
      </c>
    </row>
    <row r="73" spans="2:19" s="4" customFormat="1" ht="23.1" customHeight="1">
      <c r="B73" s="125">
        <v>6</v>
      </c>
      <c r="C73" s="100">
        <v>50000</v>
      </c>
      <c r="D73" s="238" t="s">
        <v>149</v>
      </c>
      <c r="E73" s="366"/>
      <c r="F73" s="328">
        <v>113</v>
      </c>
      <c r="G73" s="297">
        <v>2020836</v>
      </c>
      <c r="H73" s="315">
        <v>114</v>
      </c>
      <c r="I73" s="297">
        <v>2211929</v>
      </c>
      <c r="J73" s="146">
        <f t="shared" si="12"/>
        <v>0.88495575221239164</v>
      </c>
      <c r="K73" s="71">
        <f t="shared" si="9"/>
        <v>9.4561359754082019</v>
      </c>
      <c r="L73" s="134"/>
      <c r="N73" s="37" t="s">
        <v>205</v>
      </c>
      <c r="O73" s="289">
        <v>259</v>
      </c>
      <c r="P73" s="297">
        <v>4918804</v>
      </c>
      <c r="Q73" s="5">
        <f t="shared" si="10"/>
        <v>259</v>
      </c>
      <c r="R73" s="4">
        <v>134</v>
      </c>
      <c r="S73" s="4">
        <v>125</v>
      </c>
    </row>
    <row r="74" spans="2:19" s="4" customFormat="1" ht="23.1" customHeight="1">
      <c r="B74" s="125">
        <v>7</v>
      </c>
      <c r="C74" s="100">
        <v>30000</v>
      </c>
      <c r="D74" s="238" t="s">
        <v>149</v>
      </c>
      <c r="E74" s="366"/>
      <c r="F74" s="328">
        <v>16</v>
      </c>
      <c r="G74" s="297">
        <v>211214</v>
      </c>
      <c r="H74" s="315">
        <v>21</v>
      </c>
      <c r="I74" s="297">
        <v>337578</v>
      </c>
      <c r="J74" s="146">
        <f t="shared" si="12"/>
        <v>31.25</v>
      </c>
      <c r="K74" s="71">
        <f t="shared" si="9"/>
        <v>59.827473557624018</v>
      </c>
      <c r="L74" s="134"/>
      <c r="N74" s="37" t="s">
        <v>200</v>
      </c>
      <c r="O74" s="289">
        <v>68</v>
      </c>
      <c r="P74" s="297">
        <v>1037302</v>
      </c>
      <c r="Q74" s="5">
        <f t="shared" si="10"/>
        <v>68</v>
      </c>
      <c r="R74" s="4">
        <v>37</v>
      </c>
      <c r="S74" s="4">
        <v>31</v>
      </c>
    </row>
    <row r="75" spans="2:19" s="4" customFormat="1" ht="23.1" customHeight="1">
      <c r="B75" s="125">
        <v>8</v>
      </c>
      <c r="C75" s="100">
        <v>20000</v>
      </c>
      <c r="D75" s="238" t="s">
        <v>149</v>
      </c>
      <c r="E75" s="366"/>
      <c r="F75" s="328">
        <v>49</v>
      </c>
      <c r="G75" s="297">
        <v>1086809</v>
      </c>
      <c r="H75" s="315">
        <v>33</v>
      </c>
      <c r="I75" s="297">
        <v>739593</v>
      </c>
      <c r="J75" s="146">
        <f t="shared" si="12"/>
        <v>-32.653061224489804</v>
      </c>
      <c r="K75" s="71">
        <f t="shared" si="9"/>
        <v>-31.94820801079122</v>
      </c>
      <c r="L75" s="134"/>
      <c r="N75" s="37" t="s">
        <v>174</v>
      </c>
      <c r="O75" s="289">
        <v>100</v>
      </c>
      <c r="P75" s="297">
        <v>2192812</v>
      </c>
      <c r="Q75" s="5">
        <f t="shared" si="10"/>
        <v>100</v>
      </c>
      <c r="R75" s="4">
        <v>50</v>
      </c>
      <c r="S75" s="4">
        <v>50</v>
      </c>
    </row>
    <row r="76" spans="2:19" s="4" customFormat="1" ht="23.1" customHeight="1">
      <c r="B76" s="125">
        <v>9</v>
      </c>
      <c r="C76" s="100">
        <v>50000</v>
      </c>
      <c r="D76" s="238" t="s">
        <v>149</v>
      </c>
      <c r="E76" s="366" t="s">
        <v>150</v>
      </c>
      <c r="F76" s="328">
        <v>70</v>
      </c>
      <c r="G76" s="297">
        <v>94349</v>
      </c>
      <c r="H76" s="315">
        <v>109</v>
      </c>
      <c r="I76" s="297">
        <v>155094</v>
      </c>
      <c r="J76" s="146">
        <f t="shared" si="12"/>
        <v>55.714285714285722</v>
      </c>
      <c r="K76" s="71">
        <f t="shared" si="9"/>
        <v>64.383300299950179</v>
      </c>
      <c r="L76" s="134"/>
      <c r="N76" s="37" t="s">
        <v>223</v>
      </c>
      <c r="O76" s="289">
        <v>148</v>
      </c>
      <c r="P76" s="297">
        <v>188133</v>
      </c>
      <c r="Q76" s="5">
        <f t="shared" si="10"/>
        <v>148</v>
      </c>
      <c r="R76" s="4">
        <v>63</v>
      </c>
      <c r="S76" s="4">
        <v>85</v>
      </c>
    </row>
    <row r="77" spans="2:19" s="4" customFormat="1" ht="23.1" customHeight="1">
      <c r="B77" s="125">
        <v>10</v>
      </c>
      <c r="C77" s="100">
        <v>30000</v>
      </c>
      <c r="D77" s="238" t="s">
        <v>149</v>
      </c>
      <c r="E77" s="366"/>
      <c r="F77" s="329">
        <v>53</v>
      </c>
      <c r="G77" s="301">
        <v>385270</v>
      </c>
      <c r="H77" s="316">
        <v>55</v>
      </c>
      <c r="I77" s="301">
        <v>402361</v>
      </c>
      <c r="J77" s="146">
        <f t="shared" ref="J77:J80" si="13">(H77/F77*100)-100</f>
        <v>3.7735849056603712</v>
      </c>
      <c r="K77" s="71">
        <f t="shared" si="9"/>
        <v>4.4361097412204344</v>
      </c>
      <c r="L77" s="134"/>
      <c r="N77" s="37" t="s">
        <v>224</v>
      </c>
      <c r="O77" s="289">
        <v>129</v>
      </c>
      <c r="P77" s="301">
        <v>940788</v>
      </c>
      <c r="Q77" s="5">
        <f t="shared" si="10"/>
        <v>129</v>
      </c>
      <c r="R77" s="4">
        <v>64</v>
      </c>
      <c r="S77" s="4">
        <v>65</v>
      </c>
    </row>
    <row r="78" spans="2:19" s="5" customFormat="1" ht="23.1" customHeight="1">
      <c r="B78" s="125">
        <v>11</v>
      </c>
      <c r="C78" s="100">
        <v>30000</v>
      </c>
      <c r="D78" s="238" t="s">
        <v>149</v>
      </c>
      <c r="E78" s="366"/>
      <c r="F78" s="329">
        <v>225</v>
      </c>
      <c r="G78" s="297">
        <v>773647</v>
      </c>
      <c r="H78" s="316">
        <v>197</v>
      </c>
      <c r="I78" s="297">
        <v>672374</v>
      </c>
      <c r="J78" s="146">
        <f t="shared" si="13"/>
        <v>-12.444444444444443</v>
      </c>
      <c r="K78" s="71">
        <f t="shared" si="9"/>
        <v>-13.090337065871125</v>
      </c>
      <c r="L78" s="126"/>
      <c r="N78" s="37" t="s">
        <v>246</v>
      </c>
      <c r="O78" s="289">
        <v>519</v>
      </c>
      <c r="P78" s="297">
        <v>1707865</v>
      </c>
      <c r="Q78" s="5">
        <f t="shared" si="10"/>
        <v>519</v>
      </c>
      <c r="R78" s="5">
        <v>269</v>
      </c>
      <c r="S78" s="5">
        <v>250</v>
      </c>
    </row>
    <row r="79" spans="2:19" s="5" customFormat="1" ht="23.1" customHeight="1">
      <c r="B79" s="125">
        <v>12</v>
      </c>
      <c r="C79" s="100">
        <v>5000</v>
      </c>
      <c r="D79" s="238" t="s">
        <v>149</v>
      </c>
      <c r="E79" s="367" t="s">
        <v>157</v>
      </c>
      <c r="F79" s="329">
        <v>177</v>
      </c>
      <c r="G79" s="297">
        <v>342234</v>
      </c>
      <c r="H79" s="316">
        <v>153</v>
      </c>
      <c r="I79" s="297">
        <v>271004</v>
      </c>
      <c r="J79" s="146">
        <f t="shared" si="13"/>
        <v>-13.559322033898297</v>
      </c>
      <c r="K79" s="71">
        <f t="shared" si="9"/>
        <v>-20.813244738979762</v>
      </c>
      <c r="L79" s="126"/>
      <c r="N79" s="37" t="s">
        <v>173</v>
      </c>
      <c r="O79" s="289">
        <v>413</v>
      </c>
      <c r="P79" s="297">
        <v>814368</v>
      </c>
      <c r="Q79" s="5">
        <f t="shared" si="10"/>
        <v>413</v>
      </c>
      <c r="R79" s="5">
        <v>211</v>
      </c>
      <c r="S79" s="5">
        <v>202</v>
      </c>
    </row>
    <row r="80" spans="2:19" s="5" customFormat="1" ht="23.1" customHeight="1">
      <c r="B80" s="136">
        <v>14</v>
      </c>
      <c r="C80" s="135">
        <v>30000</v>
      </c>
      <c r="D80" s="241" t="s">
        <v>149</v>
      </c>
      <c r="E80" s="376"/>
      <c r="F80" s="329">
        <v>69</v>
      </c>
      <c r="G80" s="300">
        <v>466814</v>
      </c>
      <c r="H80" s="316">
        <v>49</v>
      </c>
      <c r="I80" s="300">
        <v>347314</v>
      </c>
      <c r="J80" s="80">
        <f t="shared" si="13"/>
        <v>-28.985507246376812</v>
      </c>
      <c r="K80" s="80">
        <f t="shared" si="9"/>
        <v>-25.599060867925985</v>
      </c>
      <c r="L80" s="133"/>
      <c r="N80" s="37" t="s">
        <v>176</v>
      </c>
      <c r="O80" s="289">
        <v>155</v>
      </c>
      <c r="P80" s="300">
        <v>993325</v>
      </c>
      <c r="Q80" s="5">
        <f t="shared" si="10"/>
        <v>155</v>
      </c>
      <c r="R80" s="5">
        <v>74</v>
      </c>
      <c r="S80" s="5">
        <v>81</v>
      </c>
    </row>
    <row r="81" spans="2:19" s="3" customFormat="1" ht="15" customHeight="1">
      <c r="E81" s="49"/>
      <c r="F81" s="255"/>
      <c r="G81" s="9"/>
      <c r="H81" s="260"/>
      <c r="I81" s="266"/>
      <c r="J81" s="9"/>
      <c r="K81" s="9"/>
      <c r="N81" s="37"/>
    </row>
    <row r="82" spans="2:19" s="3" customFormat="1" ht="30" customHeight="1">
      <c r="B82" s="363" t="s">
        <v>307</v>
      </c>
      <c r="C82" s="363"/>
      <c r="E82" s="49"/>
      <c r="F82" s="255"/>
      <c r="G82" s="9"/>
      <c r="H82" s="260"/>
      <c r="I82" s="266"/>
      <c r="J82" s="9"/>
      <c r="K82" s="352" t="s">
        <v>300</v>
      </c>
      <c r="L82" s="352"/>
    </row>
    <row r="83" spans="2:19" s="4" customFormat="1" ht="20.100000000000001" customHeight="1">
      <c r="B83" s="346" t="s">
        <v>0</v>
      </c>
      <c r="C83" s="369" t="s">
        <v>1</v>
      </c>
      <c r="D83" s="347" t="s">
        <v>2</v>
      </c>
      <c r="E83" s="347" t="s">
        <v>3</v>
      </c>
      <c r="F83" s="344" t="s">
        <v>267</v>
      </c>
      <c r="G83" s="344"/>
      <c r="H83" s="344"/>
      <c r="I83" s="344"/>
      <c r="J83" s="344" t="s">
        <v>102</v>
      </c>
      <c r="K83" s="344"/>
      <c r="L83" s="339" t="s">
        <v>14</v>
      </c>
    </row>
    <row r="84" spans="2:19" s="4" customFormat="1" ht="20.100000000000001" customHeight="1">
      <c r="B84" s="348"/>
      <c r="C84" s="370"/>
      <c r="D84" s="349"/>
      <c r="E84" s="349"/>
      <c r="F84" s="354" t="str">
        <f>'총 계'!F7:G7</f>
        <v xml:space="preserve">'25.5월 누계 </v>
      </c>
      <c r="G84" s="354"/>
      <c r="H84" s="354" t="str">
        <f>'총 계'!H7:I7</f>
        <v>'26.5월 누계</v>
      </c>
      <c r="I84" s="354"/>
      <c r="J84" s="345"/>
      <c r="K84" s="345"/>
      <c r="L84" s="340"/>
    </row>
    <row r="85" spans="2:19" s="4" customFormat="1" ht="30" customHeight="1" thickBot="1">
      <c r="B85" s="368"/>
      <c r="C85" s="371"/>
      <c r="D85" s="374"/>
      <c r="E85" s="374"/>
      <c r="F85" s="250" t="s">
        <v>103</v>
      </c>
      <c r="G85" s="141" t="s">
        <v>72</v>
      </c>
      <c r="H85" s="261" t="s">
        <v>104</v>
      </c>
      <c r="I85" s="268" t="s">
        <v>74</v>
      </c>
      <c r="J85" s="141" t="s">
        <v>75</v>
      </c>
      <c r="K85" s="141" t="s">
        <v>105</v>
      </c>
      <c r="L85" s="364"/>
    </row>
    <row r="86" spans="2:19" s="4" customFormat="1" ht="23.1" customHeight="1" thickBot="1">
      <c r="B86" s="148" t="s">
        <v>334</v>
      </c>
      <c r="C86" s="149"/>
      <c r="D86" s="149"/>
      <c r="E86" s="149"/>
      <c r="F86" s="157">
        <f>SUM(F87:F94)</f>
        <v>360</v>
      </c>
      <c r="G86" s="157">
        <f>SUM(G87:G94)</f>
        <v>11433820</v>
      </c>
      <c r="H86" s="262">
        <f>SUM(H87:H94)</f>
        <v>405</v>
      </c>
      <c r="I86" s="271">
        <f>SUM(I87:I94)</f>
        <v>11711728</v>
      </c>
      <c r="J86" s="151">
        <f t="shared" ref="J86:K94" si="14">(H86/F86*100)-100</f>
        <v>12.5</v>
      </c>
      <c r="K86" s="151">
        <f t="shared" si="14"/>
        <v>2.4305787567059838</v>
      </c>
      <c r="L86" s="152"/>
    </row>
    <row r="87" spans="2:19" s="4" customFormat="1" ht="23.1" customHeight="1">
      <c r="B87" s="142" t="s">
        <v>115</v>
      </c>
      <c r="C87" s="240"/>
      <c r="D87" s="240" t="s">
        <v>116</v>
      </c>
      <c r="E87" s="365" t="s">
        <v>117</v>
      </c>
      <c r="F87" s="330">
        <v>119</v>
      </c>
      <c r="G87" s="297">
        <v>6497023</v>
      </c>
      <c r="H87" s="317">
        <v>40</v>
      </c>
      <c r="I87" s="297">
        <v>2312139</v>
      </c>
      <c r="J87" s="146">
        <f t="shared" si="14"/>
        <v>-66.386554621848745</v>
      </c>
      <c r="K87" s="146">
        <f t="shared" si="14"/>
        <v>-64.412331617111406</v>
      </c>
      <c r="L87" s="153"/>
      <c r="N87" s="37" t="s">
        <v>242</v>
      </c>
      <c r="O87" s="292">
        <v>203</v>
      </c>
      <c r="P87" s="297">
        <v>11363802</v>
      </c>
      <c r="Q87" s="5">
        <f t="shared" ref="Q87:Q95" si="15">R87+S87</f>
        <v>203</v>
      </c>
      <c r="R87" s="4">
        <v>102</v>
      </c>
      <c r="S87" s="4">
        <v>101</v>
      </c>
    </row>
    <row r="88" spans="2:19" s="4" customFormat="1" ht="23.1" customHeight="1">
      <c r="B88" s="137" t="s">
        <v>118</v>
      </c>
      <c r="C88" s="242"/>
      <c r="D88" s="242" t="s">
        <v>116</v>
      </c>
      <c r="E88" s="366"/>
      <c r="F88" s="330">
        <v>51</v>
      </c>
      <c r="G88" s="297">
        <v>3573883</v>
      </c>
      <c r="H88" s="317">
        <v>120</v>
      </c>
      <c r="I88" s="297">
        <v>7957363</v>
      </c>
      <c r="J88" s="71">
        <f t="shared" si="14"/>
        <v>135.29411764705884</v>
      </c>
      <c r="K88" s="71">
        <f t="shared" si="14"/>
        <v>122.65314785067113</v>
      </c>
      <c r="L88" s="134"/>
      <c r="N88" s="37" t="s">
        <v>216</v>
      </c>
      <c r="O88" s="292">
        <v>169</v>
      </c>
      <c r="P88" s="297">
        <v>11371087</v>
      </c>
      <c r="Q88" s="5">
        <f t="shared" si="15"/>
        <v>169</v>
      </c>
      <c r="R88" s="4">
        <v>82</v>
      </c>
      <c r="S88" s="4">
        <v>87</v>
      </c>
    </row>
    <row r="89" spans="2:19" s="4" customFormat="1" ht="23.1" customHeight="1">
      <c r="B89" s="137" t="s">
        <v>119</v>
      </c>
      <c r="C89" s="242"/>
      <c r="D89" s="242" t="s">
        <v>120</v>
      </c>
      <c r="E89" s="366"/>
      <c r="F89" s="333">
        <v>13</v>
      </c>
      <c r="G89" s="297">
        <v>24134</v>
      </c>
      <c r="H89" s="319">
        <v>14</v>
      </c>
      <c r="I89" s="297">
        <v>22236</v>
      </c>
      <c r="J89" s="71">
        <f t="shared" si="14"/>
        <v>7.6923076923076934</v>
      </c>
      <c r="K89" s="71">
        <f t="shared" si="14"/>
        <v>-7.8644236347062133</v>
      </c>
      <c r="L89" s="134"/>
      <c r="N89" s="37" t="s">
        <v>210</v>
      </c>
      <c r="O89" s="292">
        <v>35</v>
      </c>
      <c r="P89" s="291">
        <v>51905</v>
      </c>
      <c r="Q89" s="5">
        <f t="shared" si="15"/>
        <v>35</v>
      </c>
      <c r="R89" s="4">
        <v>16</v>
      </c>
      <c r="S89" s="4">
        <v>19</v>
      </c>
    </row>
    <row r="90" spans="2:19" s="4" customFormat="1" ht="23.1" customHeight="1">
      <c r="B90" s="137" t="s">
        <v>121</v>
      </c>
      <c r="C90" s="242"/>
      <c r="D90" s="242" t="s">
        <v>122</v>
      </c>
      <c r="E90" s="367" t="s">
        <v>123</v>
      </c>
      <c r="F90" s="282"/>
      <c r="G90" s="270">
        <v>0</v>
      </c>
      <c r="H90" s="318">
        <v>2</v>
      </c>
      <c r="I90" s="297">
        <v>3131</v>
      </c>
      <c r="J90" s="71" t="e">
        <f>(H90/F90*100)-100</f>
        <v>#DIV/0!</v>
      </c>
      <c r="K90" s="71" t="e">
        <f t="shared" si="14"/>
        <v>#DIV/0!</v>
      </c>
      <c r="L90" s="134"/>
      <c r="N90" s="37" t="s">
        <v>243</v>
      </c>
      <c r="O90" s="292">
        <v>15</v>
      </c>
      <c r="P90" s="297">
        <v>161467</v>
      </c>
      <c r="Q90" s="5">
        <f t="shared" si="15"/>
        <v>15</v>
      </c>
      <c r="R90" s="4">
        <v>8</v>
      </c>
      <c r="S90" s="4">
        <v>7</v>
      </c>
    </row>
    <row r="91" spans="2:19" s="4" customFormat="1" ht="23.1" customHeight="1">
      <c r="B91" s="137" t="s">
        <v>124</v>
      </c>
      <c r="C91" s="242"/>
      <c r="D91" s="242" t="s">
        <v>125</v>
      </c>
      <c r="E91" s="367"/>
      <c r="F91" s="331">
        <v>10</v>
      </c>
      <c r="G91" s="297">
        <v>22310</v>
      </c>
      <c r="H91" s="318">
        <v>8</v>
      </c>
      <c r="I91" s="297">
        <v>12415</v>
      </c>
      <c r="J91" s="71">
        <f>(H91/F91*100)-100</f>
        <v>-20</v>
      </c>
      <c r="K91" s="71">
        <f t="shared" si="14"/>
        <v>-44.352308381891525</v>
      </c>
      <c r="L91" s="134"/>
      <c r="N91" s="37" t="s">
        <v>293</v>
      </c>
      <c r="O91" s="292">
        <v>32</v>
      </c>
      <c r="P91" s="297">
        <v>71994</v>
      </c>
      <c r="Q91" s="5">
        <f t="shared" si="15"/>
        <v>32</v>
      </c>
      <c r="R91" s="4">
        <v>13</v>
      </c>
      <c r="S91" s="4">
        <v>19</v>
      </c>
    </row>
    <row r="92" spans="2:19" s="4" customFormat="1" ht="23.1" customHeight="1">
      <c r="B92" s="137" t="s">
        <v>126</v>
      </c>
      <c r="C92" s="242"/>
      <c r="D92" s="242" t="s">
        <v>120</v>
      </c>
      <c r="E92" s="242" t="s">
        <v>127</v>
      </c>
      <c r="F92" s="71"/>
      <c r="G92" s="71">
        <v>0</v>
      </c>
      <c r="H92" s="71">
        <v>0</v>
      </c>
      <c r="I92" s="71"/>
      <c r="J92" s="71">
        <v>0</v>
      </c>
      <c r="K92" s="71">
        <v>0</v>
      </c>
      <c r="L92" s="134"/>
      <c r="N92" s="37" t="s">
        <v>244</v>
      </c>
      <c r="O92" s="290">
        <v>0</v>
      </c>
      <c r="P92" s="290">
        <v>0</v>
      </c>
      <c r="Q92" s="5">
        <f t="shared" si="15"/>
        <v>0</v>
      </c>
    </row>
    <row r="93" spans="2:19" s="4" customFormat="1" ht="23.1" customHeight="1">
      <c r="B93" s="137" t="s">
        <v>128</v>
      </c>
      <c r="C93" s="242"/>
      <c r="D93" s="242" t="s">
        <v>129</v>
      </c>
      <c r="E93" s="242" t="s">
        <v>130</v>
      </c>
      <c r="F93" s="332">
        <v>103</v>
      </c>
      <c r="G93" s="297">
        <v>342590</v>
      </c>
      <c r="H93" s="321">
        <v>163</v>
      </c>
      <c r="I93" s="297">
        <v>383229</v>
      </c>
      <c r="J93" s="71">
        <f t="shared" si="14"/>
        <v>58.252427184466029</v>
      </c>
      <c r="K93" s="71">
        <f t="shared" si="14"/>
        <v>11.862284363233016</v>
      </c>
      <c r="L93" s="134"/>
      <c r="N93" s="37" t="s">
        <v>228</v>
      </c>
      <c r="O93" s="292">
        <v>285</v>
      </c>
      <c r="P93" s="297">
        <v>796024</v>
      </c>
      <c r="Q93" s="5">
        <f t="shared" si="15"/>
        <v>285</v>
      </c>
      <c r="R93" s="4">
        <v>131</v>
      </c>
      <c r="S93" s="4">
        <v>154</v>
      </c>
    </row>
    <row r="94" spans="2:19" s="4" customFormat="1" ht="23.1" customHeight="1">
      <c r="B94" s="138" t="s">
        <v>131</v>
      </c>
      <c r="C94" s="243"/>
      <c r="D94" s="243" t="s">
        <v>125</v>
      </c>
      <c r="E94" s="243" t="s">
        <v>132</v>
      </c>
      <c r="F94" s="334">
        <v>64</v>
      </c>
      <c r="G94" s="300">
        <v>973880</v>
      </c>
      <c r="H94" s="320">
        <v>58</v>
      </c>
      <c r="I94" s="300">
        <v>1021215</v>
      </c>
      <c r="J94" s="80">
        <f>(H94/F94*100)-100</f>
        <v>-9.375</v>
      </c>
      <c r="K94" s="80">
        <f t="shared" si="14"/>
        <v>4.8604550868690097</v>
      </c>
      <c r="L94" s="81"/>
      <c r="N94" s="37" t="s">
        <v>227</v>
      </c>
      <c r="O94" s="292">
        <v>144</v>
      </c>
      <c r="P94" s="300">
        <v>2238926</v>
      </c>
      <c r="Q94" s="5">
        <f t="shared" si="15"/>
        <v>144</v>
      </c>
      <c r="R94" s="4">
        <v>63</v>
      </c>
      <c r="S94" s="4">
        <v>81</v>
      </c>
    </row>
    <row r="95" spans="2:19" s="4" customFormat="1" ht="15" customHeight="1">
      <c r="B95" s="6"/>
      <c r="C95" s="6"/>
      <c r="D95" s="6"/>
      <c r="E95" s="6"/>
      <c r="F95" s="258"/>
      <c r="G95" s="29"/>
      <c r="H95" s="263"/>
      <c r="I95" s="272"/>
      <c r="J95" s="10"/>
      <c r="K95" s="10"/>
      <c r="L95" s="6"/>
      <c r="N95" s="37"/>
      <c r="Q95" s="5">
        <f t="shared" si="15"/>
        <v>0</v>
      </c>
    </row>
    <row r="96" spans="2:19" s="4" customFormat="1" ht="30" customHeight="1">
      <c r="B96" s="363" t="s">
        <v>308</v>
      </c>
      <c r="C96" s="363"/>
      <c r="D96" s="3"/>
      <c r="E96" s="49"/>
      <c r="F96" s="255"/>
      <c r="G96" s="9"/>
      <c r="H96" s="260"/>
      <c r="I96" s="266"/>
      <c r="J96" s="9"/>
      <c r="K96" s="352" t="s">
        <v>300</v>
      </c>
      <c r="L96" s="352"/>
    </row>
    <row r="97" spans="2:19" s="4" customFormat="1" ht="20.100000000000001" customHeight="1">
      <c r="B97" s="346" t="s">
        <v>0</v>
      </c>
      <c r="C97" s="369" t="s">
        <v>1</v>
      </c>
      <c r="D97" s="347" t="s">
        <v>2</v>
      </c>
      <c r="E97" s="347" t="s">
        <v>3</v>
      </c>
      <c r="F97" s="344" t="s">
        <v>101</v>
      </c>
      <c r="G97" s="344"/>
      <c r="H97" s="344"/>
      <c r="I97" s="344"/>
      <c r="J97" s="344" t="s">
        <v>102</v>
      </c>
      <c r="K97" s="344"/>
      <c r="L97" s="339" t="s">
        <v>14</v>
      </c>
    </row>
    <row r="98" spans="2:19" s="4" customFormat="1" ht="20.100000000000001" customHeight="1">
      <c r="B98" s="348"/>
      <c r="C98" s="370"/>
      <c r="D98" s="349"/>
      <c r="E98" s="349"/>
      <c r="F98" s="354" t="str">
        <f>'총 계'!F7:G7</f>
        <v xml:space="preserve">'25.5월 누계 </v>
      </c>
      <c r="G98" s="354"/>
      <c r="H98" s="354" t="str">
        <f>'총 계'!H7:I7</f>
        <v>'26.5월 누계</v>
      </c>
      <c r="I98" s="354"/>
      <c r="J98" s="345"/>
      <c r="K98" s="345"/>
      <c r="L98" s="340"/>
    </row>
    <row r="99" spans="2:19" s="4" customFormat="1" ht="30" customHeight="1" thickBot="1">
      <c r="B99" s="368"/>
      <c r="C99" s="371"/>
      <c r="D99" s="374"/>
      <c r="E99" s="374"/>
      <c r="F99" s="250" t="s">
        <v>103</v>
      </c>
      <c r="G99" s="141" t="s">
        <v>72</v>
      </c>
      <c r="H99" s="261" t="s">
        <v>104</v>
      </c>
      <c r="I99" s="268" t="s">
        <v>74</v>
      </c>
      <c r="J99" s="141" t="s">
        <v>75</v>
      </c>
      <c r="K99" s="141" t="s">
        <v>105</v>
      </c>
      <c r="L99" s="364"/>
    </row>
    <row r="100" spans="2:19" s="4" customFormat="1" ht="23.1" customHeight="1" thickBot="1">
      <c r="B100" s="148" t="s">
        <v>334</v>
      </c>
      <c r="C100" s="149"/>
      <c r="D100" s="149"/>
      <c r="E100" s="149"/>
      <c r="F100" s="157">
        <f t="shared" ref="F100:G100" si="16">SUM(F101:F107)</f>
        <v>63</v>
      </c>
      <c r="G100" s="157">
        <f t="shared" si="16"/>
        <v>178134</v>
      </c>
      <c r="H100" s="262">
        <f>SUM(H101:H107)</f>
        <v>51</v>
      </c>
      <c r="I100" s="271">
        <f>SUM(I101:I107)</f>
        <v>139143</v>
      </c>
      <c r="J100" s="236" t="s">
        <v>298</v>
      </c>
      <c r="K100" s="236" t="s">
        <v>298</v>
      </c>
      <c r="L100" s="158" t="s">
        <v>339</v>
      </c>
    </row>
    <row r="101" spans="2:19" s="4" customFormat="1" ht="23.1" customHeight="1">
      <c r="B101" s="235" t="s">
        <v>133</v>
      </c>
      <c r="C101" s="244"/>
      <c r="D101" s="244" t="s">
        <v>134</v>
      </c>
      <c r="E101" s="372" t="s">
        <v>135</v>
      </c>
      <c r="F101" s="253">
        <v>0</v>
      </c>
      <c r="G101" s="248">
        <v>0</v>
      </c>
      <c r="H101" s="305">
        <v>1</v>
      </c>
      <c r="I101" s="71">
        <v>0</v>
      </c>
      <c r="J101" s="236" t="s">
        <v>297</v>
      </c>
      <c r="K101" s="236" t="s">
        <v>298</v>
      </c>
      <c r="L101" s="237"/>
      <c r="N101" s="37" t="s">
        <v>171</v>
      </c>
      <c r="O101" s="302">
        <v>1</v>
      </c>
      <c r="P101" s="293">
        <v>0</v>
      </c>
      <c r="S101" s="4">
        <v>1</v>
      </c>
    </row>
    <row r="102" spans="2:19" s="4" customFormat="1" ht="23.1" customHeight="1">
      <c r="B102" s="125" t="s">
        <v>59</v>
      </c>
      <c r="C102" s="242"/>
      <c r="D102" s="238" t="s">
        <v>134</v>
      </c>
      <c r="E102" s="366"/>
      <c r="F102" s="252">
        <v>0</v>
      </c>
      <c r="G102" s="71">
        <v>0</v>
      </c>
      <c r="H102" s="71">
        <v>0</v>
      </c>
      <c r="I102" s="71">
        <v>0</v>
      </c>
      <c r="J102" s="104" t="s">
        <v>297</v>
      </c>
      <c r="K102" s="104" t="s">
        <v>298</v>
      </c>
      <c r="L102" s="134"/>
      <c r="N102" s="37" t="s">
        <v>59</v>
      </c>
      <c r="O102" s="293">
        <v>0</v>
      </c>
      <c r="P102" s="293">
        <v>0</v>
      </c>
    </row>
    <row r="103" spans="2:19" s="4" customFormat="1" ht="23.1" customHeight="1">
      <c r="B103" s="125" t="s">
        <v>60</v>
      </c>
      <c r="C103" s="242"/>
      <c r="D103" s="238" t="s">
        <v>134</v>
      </c>
      <c r="E103" s="366"/>
      <c r="F103" s="252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134"/>
      <c r="N103" s="37" t="s">
        <v>60</v>
      </c>
      <c r="O103" s="293">
        <v>0</v>
      </c>
      <c r="P103" s="293">
        <v>0</v>
      </c>
    </row>
    <row r="104" spans="2:19" s="4" customFormat="1" ht="23.1" customHeight="1">
      <c r="B104" s="125" t="s">
        <v>61</v>
      </c>
      <c r="C104" s="242"/>
      <c r="D104" s="238" t="s">
        <v>134</v>
      </c>
      <c r="E104" s="366"/>
      <c r="F104" s="335">
        <v>63</v>
      </c>
      <c r="G104" s="297">
        <v>178134</v>
      </c>
      <c r="H104" s="304">
        <v>50</v>
      </c>
      <c r="I104" s="297">
        <v>139143</v>
      </c>
      <c r="J104" s="71">
        <v>0</v>
      </c>
      <c r="K104" s="71">
        <v>0</v>
      </c>
      <c r="L104" s="134"/>
      <c r="N104" s="37" t="s">
        <v>61</v>
      </c>
      <c r="O104" s="302">
        <v>126</v>
      </c>
      <c r="P104" s="297">
        <v>349485</v>
      </c>
      <c r="Q104" s="5">
        <f t="shared" ref="Q104" si="17">R104+S104</f>
        <v>126</v>
      </c>
      <c r="R104" s="4">
        <v>64</v>
      </c>
      <c r="S104" s="4">
        <v>62</v>
      </c>
    </row>
    <row r="105" spans="2:19" s="4" customFormat="1" ht="23.1" customHeight="1">
      <c r="B105" s="125" t="s">
        <v>62</v>
      </c>
      <c r="C105" s="242"/>
      <c r="D105" s="238" t="s">
        <v>134</v>
      </c>
      <c r="E105" s="366"/>
      <c r="F105" s="252">
        <v>0</v>
      </c>
      <c r="G105" s="71">
        <v>0</v>
      </c>
      <c r="H105" s="71">
        <v>0</v>
      </c>
      <c r="I105" s="71">
        <v>0</v>
      </c>
      <c r="J105" s="104" t="s">
        <v>297</v>
      </c>
      <c r="K105" s="104" t="s">
        <v>298</v>
      </c>
      <c r="L105" s="134"/>
      <c r="N105" s="37" t="s">
        <v>62</v>
      </c>
      <c r="O105" s="293">
        <v>0</v>
      </c>
      <c r="P105" s="293">
        <v>0</v>
      </c>
    </row>
    <row r="106" spans="2:19" s="4" customFormat="1" ht="23.1" customHeight="1">
      <c r="B106" s="125" t="s">
        <v>63</v>
      </c>
      <c r="C106" s="242"/>
      <c r="D106" s="238" t="s">
        <v>134</v>
      </c>
      <c r="E106" s="366"/>
      <c r="F106" s="252">
        <v>0</v>
      </c>
      <c r="G106" s="71">
        <v>0</v>
      </c>
      <c r="H106" s="71">
        <v>0</v>
      </c>
      <c r="I106" s="71">
        <v>0</v>
      </c>
      <c r="J106" s="104" t="s">
        <v>297</v>
      </c>
      <c r="K106" s="104" t="s">
        <v>298</v>
      </c>
      <c r="L106" s="134"/>
      <c r="N106" s="37" t="s">
        <v>63</v>
      </c>
      <c r="O106" s="293">
        <v>0</v>
      </c>
      <c r="P106" s="293">
        <v>0</v>
      </c>
    </row>
    <row r="107" spans="2:19" s="4" customFormat="1" ht="23.1" customHeight="1">
      <c r="B107" s="128" t="s">
        <v>64</v>
      </c>
      <c r="C107" s="243"/>
      <c r="D107" s="241" t="s">
        <v>134</v>
      </c>
      <c r="E107" s="373"/>
      <c r="F107" s="132">
        <v>0</v>
      </c>
      <c r="G107" s="80">
        <v>0</v>
      </c>
      <c r="H107" s="80">
        <v>0</v>
      </c>
      <c r="I107" s="80">
        <v>0</v>
      </c>
      <c r="J107" s="80">
        <v>0</v>
      </c>
      <c r="K107" s="80">
        <v>0</v>
      </c>
      <c r="L107" s="81"/>
      <c r="N107" s="37" t="s">
        <v>64</v>
      </c>
      <c r="O107" s="294">
        <v>0</v>
      </c>
      <c r="P107" s="294">
        <v>0</v>
      </c>
    </row>
    <row r="108" spans="2:19" s="4" customFormat="1" ht="18" customHeight="1">
      <c r="B108" s="375"/>
      <c r="C108" s="375"/>
      <c r="D108" s="375"/>
      <c r="E108" s="6"/>
      <c r="F108" s="258"/>
      <c r="G108" s="29"/>
      <c r="H108" s="263"/>
      <c r="I108" s="272"/>
      <c r="J108" s="10"/>
      <c r="K108" s="10"/>
      <c r="L108" s="6"/>
    </row>
    <row r="111" spans="2:19">
      <c r="P111" s="303">
        <f>SUM(P11:P107)</f>
        <v>114971346</v>
      </c>
    </row>
    <row r="112" spans="2:19">
      <c r="F112" s="303">
        <f>SUM(F10,F37,F52,F67,F86,F100)</f>
        <v>7635</v>
      </c>
      <c r="G112" s="303">
        <f>SUM(G10,G37,G52,G67,G86,G100)</f>
        <v>48089373</v>
      </c>
      <c r="H112" s="303">
        <f>SUM(H10,H37,H52,H67,H86,H100)</f>
        <v>7635</v>
      </c>
      <c r="I112" s="303">
        <f>SUM(I10,I37,I52,I67,I86,I100)</f>
        <v>48439105</v>
      </c>
    </row>
    <row r="113" spans="6:9">
      <c r="F113" s="303">
        <f>F114-F112</f>
        <v>0</v>
      </c>
      <c r="G113" s="303">
        <f>G114-G112</f>
        <v>0</v>
      </c>
      <c r="I113" s="273">
        <f>I114-I112</f>
        <v>0</v>
      </c>
    </row>
    <row r="114" spans="6:9">
      <c r="F114" s="254">
        <v>7635</v>
      </c>
      <c r="G114" s="308">
        <v>48089373</v>
      </c>
      <c r="I114" s="273">
        <v>48439105</v>
      </c>
    </row>
  </sheetData>
  <mergeCells count="83">
    <mergeCell ref="E23:E25"/>
    <mergeCell ref="B3:L3"/>
    <mergeCell ref="B6:C6"/>
    <mergeCell ref="B7:B9"/>
    <mergeCell ref="C7:C9"/>
    <mergeCell ref="D7:D9"/>
    <mergeCell ref="E7:E9"/>
    <mergeCell ref="F7:I7"/>
    <mergeCell ref="J7:K8"/>
    <mergeCell ref="L7:L9"/>
    <mergeCell ref="F8:G8"/>
    <mergeCell ref="H8:I8"/>
    <mergeCell ref="E15:E16"/>
    <mergeCell ref="E17:E18"/>
    <mergeCell ref="E19:E22"/>
    <mergeCell ref="E41:E42"/>
    <mergeCell ref="E27:E29"/>
    <mergeCell ref="B33:C33"/>
    <mergeCell ref="B34:B36"/>
    <mergeCell ref="C34:C36"/>
    <mergeCell ref="D34:D36"/>
    <mergeCell ref="E34:E36"/>
    <mergeCell ref="F34:I34"/>
    <mergeCell ref="J34:K35"/>
    <mergeCell ref="L34:L36"/>
    <mergeCell ref="F35:G35"/>
    <mergeCell ref="H35:I35"/>
    <mergeCell ref="E53:E58"/>
    <mergeCell ref="E43:E44"/>
    <mergeCell ref="E45:E46"/>
    <mergeCell ref="B48:C48"/>
    <mergeCell ref="B49:B51"/>
    <mergeCell ref="C49:C51"/>
    <mergeCell ref="D49:D51"/>
    <mergeCell ref="E49:E51"/>
    <mergeCell ref="F49:I49"/>
    <mergeCell ref="J49:K50"/>
    <mergeCell ref="L49:L51"/>
    <mergeCell ref="F50:G50"/>
    <mergeCell ref="H50:I50"/>
    <mergeCell ref="B64:B66"/>
    <mergeCell ref="C64:C66"/>
    <mergeCell ref="D64:D66"/>
    <mergeCell ref="E64:E66"/>
    <mergeCell ref="F64:I64"/>
    <mergeCell ref="D83:D85"/>
    <mergeCell ref="E83:E85"/>
    <mergeCell ref="F83:I83"/>
    <mergeCell ref="L64:L66"/>
    <mergeCell ref="F65:G65"/>
    <mergeCell ref="H65:I65"/>
    <mergeCell ref="E68:E75"/>
    <mergeCell ref="E76:E78"/>
    <mergeCell ref="E79:E80"/>
    <mergeCell ref="J64:K65"/>
    <mergeCell ref="B108:D108"/>
    <mergeCell ref="B96:C96"/>
    <mergeCell ref="B97:B99"/>
    <mergeCell ref="C97:C99"/>
    <mergeCell ref="D97:D99"/>
    <mergeCell ref="J97:K98"/>
    <mergeCell ref="L97:L99"/>
    <mergeCell ref="F98:G98"/>
    <mergeCell ref="H98:I98"/>
    <mergeCell ref="E101:E107"/>
    <mergeCell ref="E97:E99"/>
    <mergeCell ref="F97:I97"/>
    <mergeCell ref="B63:C63"/>
    <mergeCell ref="K63:L63"/>
    <mergeCell ref="K82:L82"/>
    <mergeCell ref="K96:L96"/>
    <mergeCell ref="K6:L6"/>
    <mergeCell ref="K33:L33"/>
    <mergeCell ref="K48:L48"/>
    <mergeCell ref="J83:K84"/>
    <mergeCell ref="L83:L85"/>
    <mergeCell ref="F84:G84"/>
    <mergeCell ref="H84:I84"/>
    <mergeCell ref="E87:E89"/>
    <mergeCell ref="E90:E91"/>
    <mergeCell ref="B82:C82"/>
    <mergeCell ref="B83:B85"/>
    <mergeCell ref="C83:C8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64"/>
  <sheetViews>
    <sheetView showGridLines="0" zoomScale="90" zoomScaleNormal="90" workbookViewId="0">
      <selection activeCell="I18" sqref="I18"/>
    </sheetView>
  </sheetViews>
  <sheetFormatPr defaultRowHeight="13.5"/>
  <cols>
    <col min="1" max="1" width="3.77734375" customWidth="1"/>
    <col min="4" max="4" width="11.44140625" bestFit="1" customWidth="1"/>
    <col min="5" max="5" width="11.5546875" bestFit="1" customWidth="1"/>
    <col min="12" max="12" width="6.77734375" customWidth="1"/>
    <col min="13" max="13" width="2.77734375" customWidth="1"/>
    <col min="17" max="17" width="11.44140625" bestFit="1" customWidth="1"/>
  </cols>
  <sheetData>
    <row r="1" spans="2:24">
      <c r="E1" s="50"/>
    </row>
    <row r="2" spans="2:24">
      <c r="E2" s="50"/>
    </row>
    <row r="3" spans="2:24" ht="42.95" customHeight="1">
      <c r="B3" s="336" t="s">
        <v>318</v>
      </c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8"/>
    </row>
    <row r="5" spans="2:24" s="13" customFormat="1" ht="30" customHeight="1">
      <c r="B5" s="343" t="s">
        <v>136</v>
      </c>
      <c r="C5" s="343"/>
      <c r="D5" s="343"/>
      <c r="E5" s="343"/>
      <c r="F5" s="51"/>
      <c r="G5" s="51"/>
      <c r="H5" s="52"/>
      <c r="I5" s="52"/>
      <c r="J5" s="51"/>
      <c r="K5" s="51"/>
      <c r="N5" s="343" t="s">
        <v>319</v>
      </c>
      <c r="O5" s="343"/>
      <c r="P5" s="343"/>
      <c r="Q5" s="343"/>
      <c r="R5" s="9"/>
      <c r="S5" s="9"/>
      <c r="T5" s="18"/>
      <c r="U5" s="18"/>
      <c r="V5" s="9"/>
      <c r="W5" s="9"/>
      <c r="X5" s="3"/>
    </row>
    <row r="6" spans="2:24" s="3" customFormat="1" ht="13.5" customHeight="1">
      <c r="B6" s="47"/>
      <c r="C6" s="47"/>
      <c r="D6" s="47"/>
      <c r="F6" s="9"/>
      <c r="G6" s="9"/>
      <c r="H6" s="18"/>
      <c r="I6" s="18"/>
      <c r="J6" s="9"/>
      <c r="K6" s="9"/>
      <c r="N6" s="47"/>
      <c r="O6" s="47"/>
      <c r="P6" s="47"/>
      <c r="R6" s="9"/>
      <c r="S6" s="9"/>
      <c r="T6" s="18"/>
      <c r="U6" s="18"/>
      <c r="V6" s="9"/>
      <c r="W6" s="9"/>
    </row>
    <row r="7" spans="2:24" s="3" customFormat="1" ht="30" customHeight="1">
      <c r="B7" s="363" t="s">
        <v>303</v>
      </c>
      <c r="C7" s="363"/>
      <c r="E7" s="49"/>
      <c r="F7" s="9"/>
      <c r="G7" s="9"/>
      <c r="H7" s="18"/>
      <c r="I7" s="45"/>
      <c r="J7" s="9"/>
      <c r="K7" s="352" t="s">
        <v>331</v>
      </c>
      <c r="L7" s="352"/>
      <c r="N7" s="363" t="s">
        <v>303</v>
      </c>
      <c r="O7" s="363"/>
      <c r="Q7" s="49"/>
      <c r="R7" s="9"/>
      <c r="S7" s="9"/>
      <c r="T7" s="18"/>
      <c r="U7" s="45"/>
      <c r="V7" s="9"/>
      <c r="W7" s="352" t="s">
        <v>300</v>
      </c>
      <c r="X7" s="352"/>
    </row>
    <row r="8" spans="2:24" s="4" customFormat="1" ht="20.100000000000001" customHeight="1">
      <c r="B8" s="346" t="s">
        <v>0</v>
      </c>
      <c r="C8" s="369" t="s">
        <v>1</v>
      </c>
      <c r="D8" s="347" t="s">
        <v>2</v>
      </c>
      <c r="E8" s="347" t="s">
        <v>3</v>
      </c>
      <c r="F8" s="344" t="s">
        <v>66</v>
      </c>
      <c r="G8" s="344"/>
      <c r="H8" s="344"/>
      <c r="I8" s="344"/>
      <c r="J8" s="344" t="s">
        <v>67</v>
      </c>
      <c r="K8" s="344"/>
      <c r="L8" s="339" t="s">
        <v>14</v>
      </c>
      <c r="N8" s="378" t="s">
        <v>0</v>
      </c>
      <c r="O8" s="381" t="s">
        <v>155</v>
      </c>
      <c r="P8" s="384" t="s">
        <v>2</v>
      </c>
      <c r="Q8" s="384" t="s">
        <v>3</v>
      </c>
      <c r="R8" s="387" t="s">
        <v>66</v>
      </c>
      <c r="S8" s="387"/>
      <c r="T8" s="387"/>
      <c r="U8" s="387"/>
      <c r="V8" s="387" t="s">
        <v>67</v>
      </c>
      <c r="W8" s="387"/>
      <c r="X8" s="389" t="s">
        <v>14</v>
      </c>
    </row>
    <row r="9" spans="2:24" s="4" customFormat="1" ht="20.100000000000001" customHeight="1">
      <c r="B9" s="348"/>
      <c r="C9" s="370"/>
      <c r="D9" s="349"/>
      <c r="E9" s="349"/>
      <c r="F9" s="354" t="str">
        <f>'총 계'!F7:G7</f>
        <v xml:space="preserve">'25.5월 누계 </v>
      </c>
      <c r="G9" s="354"/>
      <c r="H9" s="354" t="str">
        <f>'총 계'!H7:I7</f>
        <v>'26.5월 누계</v>
      </c>
      <c r="I9" s="354"/>
      <c r="J9" s="345"/>
      <c r="K9" s="345"/>
      <c r="L9" s="340"/>
      <c r="N9" s="379"/>
      <c r="O9" s="382"/>
      <c r="P9" s="385"/>
      <c r="Q9" s="385"/>
      <c r="R9" s="392" t="str">
        <f>F9</f>
        <v xml:space="preserve">'25.5월 누계 </v>
      </c>
      <c r="S9" s="392"/>
      <c r="T9" s="392" t="str">
        <f>H9</f>
        <v>'26.5월 누계</v>
      </c>
      <c r="U9" s="392"/>
      <c r="V9" s="388"/>
      <c r="W9" s="388"/>
      <c r="X9" s="390"/>
    </row>
    <row r="10" spans="2:24" s="4" customFormat="1" ht="30" customHeight="1" thickBot="1">
      <c r="B10" s="368"/>
      <c r="C10" s="371"/>
      <c r="D10" s="374"/>
      <c r="E10" s="374"/>
      <c r="F10" s="141" t="s">
        <v>71</v>
      </c>
      <c r="G10" s="141" t="s">
        <v>72</v>
      </c>
      <c r="H10" s="141" t="s">
        <v>325</v>
      </c>
      <c r="I10" s="141" t="s">
        <v>74</v>
      </c>
      <c r="J10" s="141" t="s">
        <v>75</v>
      </c>
      <c r="K10" s="141" t="s">
        <v>76</v>
      </c>
      <c r="L10" s="364"/>
      <c r="N10" s="380"/>
      <c r="O10" s="383"/>
      <c r="P10" s="386"/>
      <c r="Q10" s="386"/>
      <c r="R10" s="211" t="s">
        <v>71</v>
      </c>
      <c r="S10" s="211" t="s">
        <v>72</v>
      </c>
      <c r="T10" s="211" t="s">
        <v>325</v>
      </c>
      <c r="U10" s="211" t="s">
        <v>74</v>
      </c>
      <c r="V10" s="211" t="s">
        <v>75</v>
      </c>
      <c r="W10" s="211" t="s">
        <v>76</v>
      </c>
      <c r="X10" s="391"/>
    </row>
    <row r="11" spans="2:24" s="4" customFormat="1" ht="23.1" customHeight="1" thickBot="1">
      <c r="B11" s="148" t="s">
        <v>333</v>
      </c>
      <c r="C11" s="149"/>
      <c r="D11" s="149"/>
      <c r="E11" s="149"/>
      <c r="F11" s="150">
        <f>SUM(F12:F27)</f>
        <v>3258</v>
      </c>
      <c r="G11" s="150">
        <f>SUM(G12:G27)</f>
        <v>9333710</v>
      </c>
      <c r="H11" s="150">
        <f>SUM(H12:H27)</f>
        <v>3588</v>
      </c>
      <c r="I11" s="150">
        <f>SUM(I12:I27)</f>
        <v>10216200</v>
      </c>
      <c r="J11" s="210">
        <f>IFERROR((H11/F11*100)-100,"_")</f>
        <v>10.128913443830584</v>
      </c>
      <c r="K11" s="210">
        <f>IFERROR((I11/G11*100)-100,"-")</f>
        <v>9.4548684285241507</v>
      </c>
      <c r="L11" s="152"/>
      <c r="N11" s="148" t="s">
        <v>333</v>
      </c>
      <c r="O11" s="149"/>
      <c r="P11" s="149"/>
      <c r="Q11" s="149"/>
      <c r="R11" s="150">
        <f>SUM(R12:R16)</f>
        <v>897</v>
      </c>
      <c r="S11" s="150">
        <f t="shared" ref="S11:U11" si="0">SUM(S12:S16)</f>
        <v>5658883</v>
      </c>
      <c r="T11" s="150">
        <f t="shared" si="0"/>
        <v>871</v>
      </c>
      <c r="U11" s="150">
        <f t="shared" si="0"/>
        <v>5535138</v>
      </c>
      <c r="V11" s="210">
        <f>IFERROR((T11/R11*100)-100,"_")</f>
        <v>-2.8985507246376869</v>
      </c>
      <c r="W11" s="210">
        <f>IFERROR((U11/S11*100)-100,"-")</f>
        <v>-2.1867389730446831</v>
      </c>
      <c r="X11" s="152"/>
    </row>
    <row r="12" spans="2:24" s="4" customFormat="1" ht="23.1" customHeight="1">
      <c r="B12" s="142" t="s">
        <v>152</v>
      </c>
      <c r="C12" s="143">
        <v>26000</v>
      </c>
      <c r="D12" s="144" t="s">
        <v>5</v>
      </c>
      <c r="E12" s="145"/>
      <c r="F12" s="209">
        <f>VLOOKUP(B12,'부두별-세부구분'!$B$11:$F$31,5,0)</f>
        <v>79</v>
      </c>
      <c r="G12" s="209">
        <f>VLOOKUP(B12,'부두별-세부구분'!$B$11:$G$31,6,0)</f>
        <v>239776</v>
      </c>
      <c r="H12" s="209">
        <f>VLOOKUP(B12,'부두별-세부구분'!$B$11:$H$31,7,0)</f>
        <v>0</v>
      </c>
      <c r="I12" s="209">
        <f>VLOOKUP(B12,'부두별-세부구분'!$B$11:$I$31,8,0)</f>
        <v>0</v>
      </c>
      <c r="J12" s="155">
        <f>IFERROR((H12/F12*100)-100,"_")</f>
        <v>-100</v>
      </c>
      <c r="K12" s="155">
        <f>IFERROR((I12/G12*100)-100,"-")</f>
        <v>-100</v>
      </c>
      <c r="L12" s="153"/>
      <c r="N12" s="142">
        <v>4</v>
      </c>
      <c r="O12" s="212">
        <v>50000</v>
      </c>
      <c r="P12" s="145" t="s">
        <v>10</v>
      </c>
      <c r="Q12" s="393" t="s">
        <v>320</v>
      </c>
      <c r="R12" s="209">
        <f>VLOOKUP(N12,'부두별-세부구분'!$B$11:$F$30,5,0)</f>
        <v>147</v>
      </c>
      <c r="S12" s="209">
        <f>VLOOKUP(N12,'부두별-세부구분'!$B$11:$G$30,6,0)</f>
        <v>1657522</v>
      </c>
      <c r="T12" s="209">
        <f>VLOOKUP(N12,'부두별-세부구분'!$B$11:$H$30,7,0)</f>
        <v>168</v>
      </c>
      <c r="U12" s="209">
        <f>VLOOKUP(N12,'부두별-세부구분'!$B$11:$I$30,8,0)</f>
        <v>1757929</v>
      </c>
      <c r="V12" s="155">
        <f>IFERROR((T12/R12*100)-100,"_")</f>
        <v>14.285714285714278</v>
      </c>
      <c r="W12" s="155">
        <f>IFERROR((U12/S12*100)-100,"_")</f>
        <v>6.0576571532685648</v>
      </c>
      <c r="X12" s="147"/>
    </row>
    <row r="13" spans="2:24" s="5" customFormat="1" ht="23.1" customHeight="1">
      <c r="B13" s="125" t="s">
        <v>153</v>
      </c>
      <c r="C13" s="100">
        <v>26000</v>
      </c>
      <c r="D13" s="101" t="s">
        <v>5</v>
      </c>
      <c r="E13" s="99"/>
      <c r="F13" s="106">
        <f>VLOOKUP(B13,'부두별-세부구분'!$B$11:$F$31,5,0)</f>
        <v>139</v>
      </c>
      <c r="G13" s="106">
        <f>VLOOKUP(B13,'부두별-세부구분'!$B$11:$G$31,6,0)</f>
        <v>502399</v>
      </c>
      <c r="H13" s="106">
        <f>VLOOKUP(B13,'부두별-세부구분'!$B$11:$H$31,7,0)</f>
        <v>129</v>
      </c>
      <c r="I13" s="106">
        <f>VLOOKUP(B13,'부두별-세부구분'!$B$11:$I$31,8,0)</f>
        <v>601922</v>
      </c>
      <c r="J13" s="104">
        <f t="shared" ref="J13:J27" si="1">IFERROR((H13/F13*100)-100,"_")</f>
        <v>-7.1942446043165518</v>
      </c>
      <c r="K13" s="104">
        <f t="shared" ref="K13:K27" si="2">IFERROR((I13/G13*100)-100,"-")</f>
        <v>19.80955376105446</v>
      </c>
      <c r="L13" s="126"/>
      <c r="N13" s="125">
        <v>5</v>
      </c>
      <c r="O13" s="107">
        <v>30000</v>
      </c>
      <c r="P13" s="99" t="s">
        <v>10</v>
      </c>
      <c r="Q13" s="377"/>
      <c r="R13" s="106">
        <f>VLOOKUP(N13,'부두별-세부구분'!$B$11:$F$30,5,0)</f>
        <v>179</v>
      </c>
      <c r="S13" s="106">
        <f>VLOOKUP(N13,'부두별-세부구분'!$B$11:$G$30,6,0)</f>
        <v>2033438</v>
      </c>
      <c r="T13" s="106">
        <f>VLOOKUP(N13,'부두별-세부구분'!$B$11:$H$30,7,0)</f>
        <v>155</v>
      </c>
      <c r="U13" s="106">
        <f>VLOOKUP(N13,'부두별-세부구분'!$B$11:$I$30,8,0)</f>
        <v>1683135</v>
      </c>
      <c r="V13" s="104">
        <f t="shared" ref="V13:V16" si="3">IFERROR((T13/R13*100)-100,"_")</f>
        <v>-13.407821229050271</v>
      </c>
      <c r="W13" s="104">
        <f t="shared" ref="W13:W16" si="4">IFERROR((U13/S13*100)-100,"_")</f>
        <v>-17.227129619885133</v>
      </c>
      <c r="X13" s="126"/>
    </row>
    <row r="14" spans="2:24" s="5" customFormat="1" ht="23.1" customHeight="1">
      <c r="B14" s="125" t="s">
        <v>313</v>
      </c>
      <c r="C14" s="100"/>
      <c r="D14" s="101"/>
      <c r="E14" s="99"/>
      <c r="F14" s="102">
        <v>0</v>
      </c>
      <c r="G14" s="102">
        <v>0</v>
      </c>
      <c r="H14" s="102">
        <v>0</v>
      </c>
      <c r="I14" s="102">
        <v>0</v>
      </c>
      <c r="J14" s="104" t="str">
        <f t="shared" si="1"/>
        <v>_</v>
      </c>
      <c r="K14" s="104" t="str">
        <f t="shared" si="2"/>
        <v>-</v>
      </c>
      <c r="L14" s="126"/>
      <c r="N14" s="125">
        <v>14</v>
      </c>
      <c r="O14" s="107">
        <v>30000</v>
      </c>
      <c r="P14" s="99" t="s">
        <v>97</v>
      </c>
      <c r="Q14" s="366" t="s">
        <v>98</v>
      </c>
      <c r="R14" s="106">
        <f>VLOOKUP(N14,'부두별-세부구분'!$B$11:$F$30,5,0)</f>
        <v>149</v>
      </c>
      <c r="S14" s="106">
        <f>VLOOKUP(N14,'부두별-세부구분'!$B$11:$G$30,6,0)</f>
        <v>581796</v>
      </c>
      <c r="T14" s="106">
        <f>VLOOKUP(N14,'부두별-세부구분'!$B$11:$H$30,7,0)</f>
        <v>141</v>
      </c>
      <c r="U14" s="106">
        <f>VLOOKUP(N14,'부두별-세부구분'!$B$11:$I$30,8,0)</f>
        <v>661656</v>
      </c>
      <c r="V14" s="104">
        <f t="shared" si="3"/>
        <v>-5.3691275167785335</v>
      </c>
      <c r="W14" s="104">
        <f t="shared" si="4"/>
        <v>13.72646082131881</v>
      </c>
      <c r="X14" s="126"/>
    </row>
    <row r="15" spans="2:24" s="5" customFormat="1" ht="23.1" customHeight="1">
      <c r="B15" s="125">
        <v>1</v>
      </c>
      <c r="C15" s="107">
        <v>50000</v>
      </c>
      <c r="D15" s="99" t="s">
        <v>10</v>
      </c>
      <c r="E15" s="99" t="s">
        <v>249</v>
      </c>
      <c r="F15" s="106">
        <f>VLOOKUP(B15,'부두별-세부구분'!$B$11:$F$31,5,0)</f>
        <v>197</v>
      </c>
      <c r="G15" s="106">
        <f>VLOOKUP(B15,'부두별-세부구분'!$B$11:$G$31,6,0)</f>
        <v>1422545</v>
      </c>
      <c r="H15" s="106">
        <f>VLOOKUP(B15,'부두별-세부구분'!$B$11:$H$31,7,0)</f>
        <v>181</v>
      </c>
      <c r="I15" s="106">
        <f>VLOOKUP(B15,'부두별-세부구분'!$B$11:$I$31,8,0)</f>
        <v>1960783</v>
      </c>
      <c r="J15" s="104">
        <f t="shared" si="1"/>
        <v>-8.1218274111675157</v>
      </c>
      <c r="K15" s="104">
        <f t="shared" si="2"/>
        <v>37.83627231475981</v>
      </c>
      <c r="L15" s="126"/>
      <c r="N15" s="125">
        <v>15</v>
      </c>
      <c r="O15" s="107">
        <v>30000</v>
      </c>
      <c r="P15" s="99" t="s">
        <v>97</v>
      </c>
      <c r="Q15" s="366"/>
      <c r="R15" s="106">
        <f>VLOOKUP(N15,'부두별-세부구분'!$B$11:$F$30,5,0)</f>
        <v>289</v>
      </c>
      <c r="S15" s="106">
        <f>VLOOKUP(N15,'부두별-세부구분'!$B$11:$G$30,6,0)</f>
        <v>958342</v>
      </c>
      <c r="T15" s="106">
        <f>VLOOKUP(N15,'부두별-세부구분'!$B$11:$H$30,7,0)</f>
        <v>239</v>
      </c>
      <c r="U15" s="106">
        <f>VLOOKUP(N15,'부두별-세부구분'!$B$11:$I$30,8,0)</f>
        <v>948276</v>
      </c>
      <c r="V15" s="104">
        <f t="shared" si="3"/>
        <v>-17.301038062283737</v>
      </c>
      <c r="W15" s="104">
        <f t="shared" si="4"/>
        <v>-1.0503557185221979</v>
      </c>
      <c r="X15" s="126"/>
    </row>
    <row r="16" spans="2:24" s="5" customFormat="1" ht="23.1" customHeight="1">
      <c r="B16" s="125">
        <v>2</v>
      </c>
      <c r="C16" s="107">
        <v>50000</v>
      </c>
      <c r="D16" s="99" t="s">
        <v>10</v>
      </c>
      <c r="E16" s="366" t="s">
        <v>295</v>
      </c>
      <c r="F16" s="106">
        <f>VLOOKUP(B16,'부두별-세부구분'!$B$11:$F$31,5,0)</f>
        <v>195</v>
      </c>
      <c r="G16" s="106">
        <f>VLOOKUP(B16,'부두별-세부구분'!$B$11:$G$31,6,0)</f>
        <v>1095123</v>
      </c>
      <c r="H16" s="106">
        <f>VLOOKUP(B16,'부두별-세부구분'!$B$11:$H$31,7,0)</f>
        <v>223</v>
      </c>
      <c r="I16" s="106">
        <f>VLOOKUP(B16,'부두별-세부구분'!$B$11:$I$31,8,0)</f>
        <v>1227980</v>
      </c>
      <c r="J16" s="104">
        <f t="shared" si="1"/>
        <v>14.358974358974351</v>
      </c>
      <c r="K16" s="104">
        <f t="shared" si="2"/>
        <v>12.131696622205908</v>
      </c>
      <c r="L16" s="126"/>
      <c r="N16" s="128">
        <v>16</v>
      </c>
      <c r="O16" s="160">
        <v>30000</v>
      </c>
      <c r="P16" s="130" t="s">
        <v>97</v>
      </c>
      <c r="Q16" s="373"/>
      <c r="R16" s="161">
        <f>VLOOKUP(N16,'부두별-세부구분'!$B$11:$F$30,5,0)</f>
        <v>133</v>
      </c>
      <c r="S16" s="161">
        <f>VLOOKUP(N16,'부두별-세부구분'!$B$11:$G$30,6,0)</f>
        <v>427785</v>
      </c>
      <c r="T16" s="161">
        <f>VLOOKUP(N16,'부두별-세부구분'!$B$11:$H$30,7,0)</f>
        <v>168</v>
      </c>
      <c r="U16" s="161">
        <f>VLOOKUP(N16,'부두별-세부구분'!$B$11:$I$30,8,0)</f>
        <v>484142</v>
      </c>
      <c r="V16" s="162">
        <f t="shared" si="3"/>
        <v>26.315789473684205</v>
      </c>
      <c r="W16" s="162">
        <f t="shared" si="4"/>
        <v>13.174141215797647</v>
      </c>
      <c r="X16" s="163" t="s">
        <v>160</v>
      </c>
    </row>
    <row r="17" spans="2:24" s="5" customFormat="1" ht="23.1" customHeight="1">
      <c r="B17" s="125">
        <v>3</v>
      </c>
      <c r="C17" s="107">
        <v>50000</v>
      </c>
      <c r="D17" s="99" t="s">
        <v>96</v>
      </c>
      <c r="E17" s="366"/>
      <c r="F17" s="106">
        <f>VLOOKUP(B17,'부두별-세부구분'!$B$11:$F$31,5,0)</f>
        <v>171</v>
      </c>
      <c r="G17" s="106">
        <f>VLOOKUP(B17,'부두별-세부구분'!$B$11:$G$31,6,0)</f>
        <v>763928</v>
      </c>
      <c r="H17" s="106">
        <f>VLOOKUP(B17,'부두별-세부구분'!$B$11:$H$31,7,0)</f>
        <v>172</v>
      </c>
      <c r="I17" s="106">
        <f>VLOOKUP(B17,'부두별-세부구분'!$B$11:$I$31,8,0)</f>
        <v>797315</v>
      </c>
      <c r="J17" s="104">
        <f t="shared" si="1"/>
        <v>0.5847953216374151</v>
      </c>
      <c r="K17" s="104">
        <f t="shared" si="2"/>
        <v>4.3704380517535668</v>
      </c>
      <c r="L17" s="126"/>
      <c r="N17" s="55"/>
      <c r="O17" s="57"/>
      <c r="P17" s="55"/>
      <c r="Q17" s="55"/>
      <c r="R17" s="58"/>
      <c r="S17" s="58"/>
      <c r="T17" s="58"/>
      <c r="U17" s="58"/>
      <c r="V17" s="59"/>
      <c r="W17" s="59"/>
      <c r="X17" s="173"/>
    </row>
    <row r="18" spans="2:24" s="5" customFormat="1" ht="23.1" customHeight="1">
      <c r="B18" s="125">
        <v>6</v>
      </c>
      <c r="C18" s="107">
        <v>50000</v>
      </c>
      <c r="D18" s="99" t="s">
        <v>11</v>
      </c>
      <c r="E18" s="366" t="s">
        <v>12</v>
      </c>
      <c r="F18" s="106">
        <f>VLOOKUP(B18,'부두별-세부구분'!$B$11:$F$31,5,0)</f>
        <v>164</v>
      </c>
      <c r="G18" s="106">
        <f>VLOOKUP(B18,'부두별-세부구분'!$B$11:$G$31,6,0)</f>
        <v>1129372</v>
      </c>
      <c r="H18" s="106">
        <f>VLOOKUP(B18,'부두별-세부구분'!$B$11:$H$31,7,0)</f>
        <v>164</v>
      </c>
      <c r="I18" s="106">
        <f>VLOOKUP(B18,'부두별-세부구분'!$B$11:$I$31,8,0)</f>
        <v>1120674</v>
      </c>
      <c r="J18" s="104">
        <f t="shared" si="1"/>
        <v>0</v>
      </c>
      <c r="K18" s="104">
        <f t="shared" si="2"/>
        <v>-0.77016253280584124</v>
      </c>
      <c r="L18" s="159" t="s">
        <v>137</v>
      </c>
      <c r="N18" s="55"/>
      <c r="O18" s="57"/>
      <c r="P18" s="55"/>
      <c r="Q18" s="55"/>
      <c r="R18" s="58"/>
      <c r="S18" s="58"/>
      <c r="T18" s="58"/>
      <c r="U18" s="58"/>
      <c r="V18" s="59"/>
      <c r="W18" s="59"/>
      <c r="X18" s="173"/>
    </row>
    <row r="19" spans="2:24" s="5" customFormat="1" ht="23.1" customHeight="1">
      <c r="B19" s="125">
        <v>7</v>
      </c>
      <c r="C19" s="107">
        <v>50000</v>
      </c>
      <c r="D19" s="99" t="s">
        <v>11</v>
      </c>
      <c r="E19" s="366"/>
      <c r="F19" s="106">
        <f>VLOOKUP(B19,'부두별-세부구분'!$B$11:$F$31,5,0)</f>
        <v>214</v>
      </c>
      <c r="G19" s="106">
        <f>VLOOKUP(B19,'부두별-세부구분'!$B$11:$G$31,6,0)</f>
        <v>1279688</v>
      </c>
      <c r="H19" s="106">
        <f>VLOOKUP(B19,'부두별-세부구분'!$B$11:$H$31,7,0)</f>
        <v>219</v>
      </c>
      <c r="I19" s="106">
        <f>VLOOKUP(B19,'부두별-세부구분'!$B$11:$I$31,8,0)</f>
        <v>1627128</v>
      </c>
      <c r="J19" s="104">
        <f t="shared" si="1"/>
        <v>2.3364485981308434</v>
      </c>
      <c r="K19" s="104">
        <f t="shared" si="2"/>
        <v>27.150367902176157</v>
      </c>
      <c r="L19" s="159" t="s">
        <v>137</v>
      </c>
      <c r="N19" s="55"/>
      <c r="O19" s="57"/>
      <c r="P19" s="55"/>
      <c r="Q19" s="55"/>
      <c r="R19" s="58"/>
      <c r="S19" s="58"/>
      <c r="T19" s="58"/>
      <c r="U19" s="58"/>
      <c r="V19" s="59"/>
      <c r="W19" s="59"/>
      <c r="X19" s="173"/>
    </row>
    <row r="20" spans="2:24" s="5" customFormat="1" ht="23.1" customHeight="1">
      <c r="B20" s="125">
        <v>8</v>
      </c>
      <c r="C20" s="107">
        <v>30000</v>
      </c>
      <c r="D20" s="99" t="s">
        <v>11</v>
      </c>
      <c r="E20" s="366"/>
      <c r="F20" s="106">
        <f>VLOOKUP(B20,'부두별-세부구분'!$B$11:$F$31,5,0)</f>
        <v>151</v>
      </c>
      <c r="G20" s="106">
        <f>VLOOKUP(B20,'부두별-세부구분'!$B$11:$G$31,6,0)</f>
        <v>877598</v>
      </c>
      <c r="H20" s="106">
        <f>VLOOKUP(B20,'부두별-세부구분'!$B$11:$H$31,7,0)</f>
        <v>168</v>
      </c>
      <c r="I20" s="106">
        <f>VLOOKUP(B20,'부두별-세부구분'!$B$11:$I$31,8,0)</f>
        <v>948297</v>
      </c>
      <c r="J20" s="104">
        <f t="shared" si="1"/>
        <v>11.258278145695357</v>
      </c>
      <c r="K20" s="104">
        <f t="shared" si="2"/>
        <v>8.0559663991941761</v>
      </c>
      <c r="L20" s="159" t="s">
        <v>137</v>
      </c>
      <c r="N20" s="55"/>
      <c r="O20" s="57"/>
      <c r="P20" s="55"/>
      <c r="Q20" s="55"/>
      <c r="R20" s="58"/>
      <c r="S20" s="58"/>
      <c r="T20" s="58"/>
      <c r="U20" s="58"/>
      <c r="V20" s="59"/>
      <c r="W20" s="59"/>
      <c r="X20" s="173"/>
    </row>
    <row r="21" spans="2:24" s="5" customFormat="1" ht="23.1" customHeight="1">
      <c r="B21" s="125">
        <v>9</v>
      </c>
      <c r="C21" s="107">
        <v>30000</v>
      </c>
      <c r="D21" s="99" t="s">
        <v>11</v>
      </c>
      <c r="E21" s="366"/>
      <c r="F21" s="106">
        <f>VLOOKUP(B21,'부두별-세부구분'!$B$11:$F$31,5,0)</f>
        <v>251</v>
      </c>
      <c r="G21" s="106">
        <f>VLOOKUP(B21,'부두별-세부구분'!$B$11:$G$31,6,0)</f>
        <v>195364</v>
      </c>
      <c r="H21" s="106">
        <f>VLOOKUP(B21,'부두별-세부구분'!$B$11:$H$31,7,0)</f>
        <v>293</v>
      </c>
      <c r="I21" s="106">
        <f>VLOOKUP(B21,'부두별-세부구분'!$B$11:$I$31,8,0)</f>
        <v>229044</v>
      </c>
      <c r="J21" s="104">
        <f t="shared" si="1"/>
        <v>16.733067729083672</v>
      </c>
      <c r="K21" s="104">
        <f t="shared" si="2"/>
        <v>17.239614258512319</v>
      </c>
      <c r="L21" s="159" t="s">
        <v>137</v>
      </c>
      <c r="N21" s="55"/>
      <c r="O21" s="57"/>
      <c r="P21" s="55"/>
      <c r="Q21" s="55"/>
      <c r="R21" s="58"/>
      <c r="S21" s="58"/>
      <c r="T21" s="58"/>
      <c r="U21" s="58"/>
      <c r="V21" s="59"/>
      <c r="W21" s="59"/>
      <c r="X21" s="173"/>
    </row>
    <row r="22" spans="2:24" s="5" customFormat="1" ht="23.1" customHeight="1">
      <c r="B22" s="125">
        <v>10</v>
      </c>
      <c r="C22" s="100">
        <v>30000</v>
      </c>
      <c r="D22" s="101" t="s">
        <v>5</v>
      </c>
      <c r="E22" s="366" t="s">
        <v>9</v>
      </c>
      <c r="F22" s="106">
        <f>VLOOKUP(B22,'부두별-세부구분'!$B$11:$F$31,5,0)</f>
        <v>149</v>
      </c>
      <c r="G22" s="106">
        <f>VLOOKUP(B22,'부두별-세부구분'!$B$11:$G$31,6,0)</f>
        <v>517702</v>
      </c>
      <c r="H22" s="106">
        <f>VLOOKUP(B22,'부두별-세부구분'!$B$11:$H$31,7,0)</f>
        <v>139</v>
      </c>
      <c r="I22" s="106">
        <f>VLOOKUP(B22,'부두별-세부구분'!$B$11:$I$31,8,0)</f>
        <v>365596</v>
      </c>
      <c r="J22" s="104">
        <f t="shared" si="1"/>
        <v>-6.7114093959731491</v>
      </c>
      <c r="K22" s="104">
        <f t="shared" si="2"/>
        <v>-29.380995244368378</v>
      </c>
      <c r="L22" s="126"/>
      <c r="N22" s="55"/>
      <c r="O22" s="57"/>
      <c r="P22" s="55"/>
      <c r="Q22" s="55"/>
      <c r="R22" s="58"/>
      <c r="S22" s="58"/>
      <c r="T22" s="58"/>
      <c r="U22" s="58"/>
      <c r="V22" s="59"/>
      <c r="W22" s="59"/>
      <c r="X22" s="173"/>
    </row>
    <row r="23" spans="2:24" s="5" customFormat="1" ht="23.1" customHeight="1">
      <c r="B23" s="125">
        <v>11</v>
      </c>
      <c r="C23" s="100">
        <v>30000</v>
      </c>
      <c r="D23" s="99" t="s">
        <v>151</v>
      </c>
      <c r="E23" s="366"/>
      <c r="F23" s="106">
        <f>VLOOKUP(B23,'부두별-세부구분'!$B$11:$F$31,5,0)</f>
        <v>111</v>
      </c>
      <c r="G23" s="106">
        <f>VLOOKUP(B23,'부두별-세부구분'!$B$11:$G$31,6,0)</f>
        <v>285196</v>
      </c>
      <c r="H23" s="106">
        <f>VLOOKUP(B23,'부두별-세부구분'!$B$11:$H$31,7,0)</f>
        <v>147</v>
      </c>
      <c r="I23" s="106">
        <f>VLOOKUP(B23,'부두별-세부구분'!$B$11:$I$31,8,0)</f>
        <v>404871</v>
      </c>
      <c r="J23" s="104">
        <f t="shared" si="1"/>
        <v>32.432432432432421</v>
      </c>
      <c r="K23" s="104">
        <f t="shared" si="2"/>
        <v>41.96236973870603</v>
      </c>
      <c r="L23" s="126"/>
      <c r="N23" s="55"/>
      <c r="O23" s="57"/>
      <c r="P23" s="55"/>
      <c r="Q23" s="55"/>
      <c r="R23" s="58"/>
      <c r="S23" s="58"/>
      <c r="T23" s="58"/>
      <c r="U23" s="58"/>
      <c r="V23" s="59"/>
      <c r="W23" s="59"/>
      <c r="X23" s="173"/>
    </row>
    <row r="24" spans="2:24" s="5" customFormat="1" ht="23.1" customHeight="1">
      <c r="B24" s="125">
        <v>12</v>
      </c>
      <c r="C24" s="100">
        <v>30000</v>
      </c>
      <c r="D24" s="99" t="s">
        <v>151</v>
      </c>
      <c r="E24" s="366"/>
      <c r="F24" s="106">
        <f>VLOOKUP(B24,'부두별-세부구분'!$B$11:$F$31,5,0)</f>
        <v>224</v>
      </c>
      <c r="G24" s="106">
        <f>VLOOKUP(B24,'부두별-세부구분'!$B$11:$G$31,6,0)</f>
        <v>590263</v>
      </c>
      <c r="H24" s="106">
        <f>VLOOKUP(B24,'부두별-세부구분'!$B$11:$H$31,7,0)</f>
        <v>172</v>
      </c>
      <c r="I24" s="106">
        <f>VLOOKUP(B24,'부두별-세부구분'!$B$11:$I$31,8,0)</f>
        <v>567740</v>
      </c>
      <c r="J24" s="104">
        <f t="shared" si="1"/>
        <v>-23.214285714285708</v>
      </c>
      <c r="K24" s="104">
        <f t="shared" si="2"/>
        <v>-3.8157567050619718</v>
      </c>
      <c r="L24" s="126"/>
      <c r="N24" s="55"/>
      <c r="O24" s="57"/>
      <c r="P24" s="55"/>
      <c r="Q24" s="55"/>
      <c r="R24" s="58"/>
      <c r="S24" s="58"/>
      <c r="T24" s="58"/>
      <c r="U24" s="58"/>
      <c r="V24" s="59"/>
      <c r="W24" s="59"/>
      <c r="X24" s="173"/>
    </row>
    <row r="25" spans="2:24" s="5" customFormat="1" ht="23.1" customHeight="1">
      <c r="B25" s="125">
        <v>13</v>
      </c>
      <c r="C25" s="100">
        <v>30000</v>
      </c>
      <c r="D25" s="101" t="s">
        <v>7</v>
      </c>
      <c r="E25" s="99" t="s">
        <v>8</v>
      </c>
      <c r="F25" s="106">
        <f>VLOOKUP(B25,'부두별-세부구분'!$B$11:$F$31,5,0)</f>
        <v>191</v>
      </c>
      <c r="G25" s="106">
        <f>VLOOKUP(B25,'부두별-세부구분'!$B$11:$G$31,6,0)</f>
        <v>399898</v>
      </c>
      <c r="H25" s="106">
        <f>VLOOKUP(B25,'부두별-세부구분'!$B$11:$H$31,7,0)</f>
        <v>163</v>
      </c>
      <c r="I25" s="106">
        <f>VLOOKUP(B25,'부두별-세부구분'!$B$11:$I$31,8,0)</f>
        <v>329442</v>
      </c>
      <c r="J25" s="104">
        <f t="shared" si="1"/>
        <v>-14.659685863874344</v>
      </c>
      <c r="K25" s="104">
        <f t="shared" si="2"/>
        <v>-17.618492715642489</v>
      </c>
      <c r="L25" s="126"/>
      <c r="N25" s="55"/>
      <c r="O25" s="57"/>
      <c r="P25" s="55"/>
      <c r="Q25" s="55"/>
      <c r="R25" s="58"/>
      <c r="S25" s="58"/>
      <c r="T25" s="58"/>
      <c r="U25" s="58"/>
      <c r="V25" s="59"/>
      <c r="W25" s="59"/>
      <c r="X25" s="173"/>
    </row>
    <row r="26" spans="2:24" s="5" customFormat="1" ht="23.1" customHeight="1">
      <c r="B26" s="125" t="s">
        <v>20</v>
      </c>
      <c r="C26" s="108" t="s">
        <v>138</v>
      </c>
      <c r="D26" s="99"/>
      <c r="E26" s="99" t="s">
        <v>94</v>
      </c>
      <c r="F26" s="106">
        <f>VLOOKUP(B26,'부두별-세부구분'!$B$11:$F$31,5,0)</f>
        <v>1022</v>
      </c>
      <c r="G26" s="106">
        <f>VLOOKUP(B26,'부두별-세부구분'!$B$11:$G$31,6,0)</f>
        <v>34858</v>
      </c>
      <c r="H26" s="106">
        <f>VLOOKUP(B26,'부두별-세부구분'!$B$11:$H$31,7,0)</f>
        <v>1418</v>
      </c>
      <c r="I26" s="106">
        <f>VLOOKUP(B26,'부두별-세부구분'!$B$11:$I$31,8,0)</f>
        <v>35408</v>
      </c>
      <c r="J26" s="104">
        <f t="shared" si="1"/>
        <v>38.747553816046974</v>
      </c>
      <c r="K26" s="104">
        <f t="shared" si="2"/>
        <v>1.5778300533593352</v>
      </c>
      <c r="L26" s="126"/>
      <c r="N26" s="55"/>
      <c r="O26" s="57"/>
      <c r="P26" s="55"/>
      <c r="Q26" s="55"/>
      <c r="R26" s="58"/>
      <c r="S26" s="58"/>
      <c r="T26" s="58"/>
      <c r="U26" s="58"/>
      <c r="V26" s="59"/>
      <c r="W26" s="59"/>
      <c r="X26" s="173"/>
    </row>
    <row r="27" spans="2:24" s="5" customFormat="1" ht="23.1" customHeight="1">
      <c r="B27" s="128" t="s">
        <v>322</v>
      </c>
      <c r="C27" s="160" t="s">
        <v>100</v>
      </c>
      <c r="D27" s="130" t="s">
        <v>119</v>
      </c>
      <c r="E27" s="131"/>
      <c r="F27" s="161">
        <f>VLOOKUP(B27,'부두별-세부구분'!$B$11:$F$31,5,0)</f>
        <v>0</v>
      </c>
      <c r="G27" s="161">
        <f>VLOOKUP(B27,'부두별-세부구분'!$B$11:$G$31,6,0)</f>
        <v>0</v>
      </c>
      <c r="H27" s="161">
        <f>VLOOKUP(B27,'부두별-세부구분'!$B$11:$H$31,7,0)</f>
        <v>0</v>
      </c>
      <c r="I27" s="161">
        <f>VLOOKUP(B27,'부두별-세부구분'!$B$11:$I$31,8,0)</f>
        <v>0</v>
      </c>
      <c r="J27" s="162" t="str">
        <f t="shared" si="1"/>
        <v>_</v>
      </c>
      <c r="K27" s="162" t="str">
        <f t="shared" si="2"/>
        <v>-</v>
      </c>
      <c r="L27" s="133"/>
      <c r="N27" s="55"/>
      <c r="O27" s="57"/>
      <c r="P27" s="55"/>
      <c r="Q27" s="55"/>
      <c r="R27" s="58"/>
      <c r="S27" s="58"/>
      <c r="T27" s="58"/>
      <c r="U27" s="58"/>
      <c r="V27" s="59"/>
      <c r="W27" s="59"/>
      <c r="X27" s="173"/>
    </row>
    <row r="28" spans="2:24" s="3" customFormat="1">
      <c r="F28" s="9"/>
      <c r="G28" s="9"/>
      <c r="H28" s="18"/>
      <c r="I28" s="18"/>
      <c r="J28" s="9"/>
      <c r="K28" s="9"/>
      <c r="N28" s="2"/>
      <c r="O28" s="11"/>
      <c r="P28" s="2"/>
      <c r="Q28" s="2"/>
      <c r="R28" s="24"/>
      <c r="S28" s="24"/>
      <c r="T28" s="24"/>
      <c r="U28" s="24"/>
      <c r="V28" s="10"/>
      <c r="W28" s="10"/>
      <c r="X28" s="53"/>
    </row>
    <row r="29" spans="2:24" s="3" customFormat="1" ht="30" customHeight="1">
      <c r="B29" s="363" t="s">
        <v>312</v>
      </c>
      <c r="C29" s="363"/>
      <c r="E29" s="49"/>
      <c r="F29" s="9"/>
      <c r="G29" s="9"/>
      <c r="H29" s="18"/>
      <c r="I29" s="45"/>
      <c r="J29" s="9"/>
      <c r="K29" s="352" t="s">
        <v>300</v>
      </c>
      <c r="L29" s="352"/>
      <c r="N29" s="363" t="s">
        <v>312</v>
      </c>
      <c r="O29" s="363"/>
      <c r="Q29" s="49"/>
      <c r="R29" s="9"/>
      <c r="S29" s="9"/>
      <c r="T29" s="18"/>
      <c r="U29" s="45"/>
      <c r="V29" s="9"/>
      <c r="W29" s="352" t="s">
        <v>300</v>
      </c>
      <c r="X29" s="352"/>
    </row>
    <row r="30" spans="2:24" s="4" customFormat="1" ht="20.100000000000001" customHeight="1">
      <c r="B30" s="346" t="s">
        <v>0</v>
      </c>
      <c r="C30" s="369" t="s">
        <v>1</v>
      </c>
      <c r="D30" s="347" t="s">
        <v>2</v>
      </c>
      <c r="E30" s="347" t="s">
        <v>3</v>
      </c>
      <c r="F30" s="344" t="s">
        <v>66</v>
      </c>
      <c r="G30" s="344"/>
      <c r="H30" s="344"/>
      <c r="I30" s="344"/>
      <c r="J30" s="344" t="s">
        <v>67</v>
      </c>
      <c r="K30" s="344"/>
      <c r="L30" s="339" t="s">
        <v>14</v>
      </c>
      <c r="N30" s="378" t="s">
        <v>0</v>
      </c>
      <c r="O30" s="381" t="s">
        <v>1</v>
      </c>
      <c r="P30" s="384" t="s">
        <v>2</v>
      </c>
      <c r="Q30" s="384" t="s">
        <v>3</v>
      </c>
      <c r="R30" s="387" t="s">
        <v>66</v>
      </c>
      <c r="S30" s="387"/>
      <c r="T30" s="387"/>
      <c r="U30" s="387"/>
      <c r="V30" s="387" t="s">
        <v>67</v>
      </c>
      <c r="W30" s="387"/>
      <c r="X30" s="389" t="s">
        <v>14</v>
      </c>
    </row>
    <row r="31" spans="2:24" s="4" customFormat="1" ht="20.100000000000001" customHeight="1">
      <c r="B31" s="348"/>
      <c r="C31" s="370"/>
      <c r="D31" s="349"/>
      <c r="E31" s="349"/>
      <c r="F31" s="354" t="str">
        <f>'총 계'!F7:G7</f>
        <v xml:space="preserve">'25.5월 누계 </v>
      </c>
      <c r="G31" s="354"/>
      <c r="H31" s="354" t="str">
        <f>'총 계'!H7:I7</f>
        <v>'26.5월 누계</v>
      </c>
      <c r="I31" s="354"/>
      <c r="J31" s="345"/>
      <c r="K31" s="345"/>
      <c r="L31" s="340"/>
      <c r="N31" s="379"/>
      <c r="O31" s="382"/>
      <c r="P31" s="385"/>
      <c r="Q31" s="385"/>
      <c r="R31" s="392" t="str">
        <f>F9</f>
        <v xml:space="preserve">'25.5월 누계 </v>
      </c>
      <c r="S31" s="392"/>
      <c r="T31" s="392" t="str">
        <f>H9</f>
        <v>'26.5월 누계</v>
      </c>
      <c r="U31" s="392"/>
      <c r="V31" s="388"/>
      <c r="W31" s="388"/>
      <c r="X31" s="390"/>
    </row>
    <row r="32" spans="2:24" s="4" customFormat="1" ht="30" customHeight="1" thickBot="1">
      <c r="B32" s="368"/>
      <c r="C32" s="371"/>
      <c r="D32" s="374"/>
      <c r="E32" s="374"/>
      <c r="F32" s="141" t="s">
        <v>71</v>
      </c>
      <c r="G32" s="141" t="s">
        <v>72</v>
      </c>
      <c r="H32" s="141" t="s">
        <v>325</v>
      </c>
      <c r="I32" s="141" t="s">
        <v>74</v>
      </c>
      <c r="J32" s="141" t="s">
        <v>75</v>
      </c>
      <c r="K32" s="141" t="s">
        <v>76</v>
      </c>
      <c r="L32" s="364"/>
      <c r="N32" s="380"/>
      <c r="O32" s="383"/>
      <c r="P32" s="386"/>
      <c r="Q32" s="386"/>
      <c r="R32" s="211" t="s">
        <v>71</v>
      </c>
      <c r="S32" s="211" t="s">
        <v>72</v>
      </c>
      <c r="T32" s="211" t="s">
        <v>325</v>
      </c>
      <c r="U32" s="211" t="s">
        <v>74</v>
      </c>
      <c r="V32" s="211" t="s">
        <v>75</v>
      </c>
      <c r="W32" s="211" t="s">
        <v>76</v>
      </c>
      <c r="X32" s="391"/>
    </row>
    <row r="33" spans="2:24" s="4" customFormat="1" ht="23.1" customHeight="1" thickBot="1">
      <c r="B33" s="148" t="s">
        <v>333</v>
      </c>
      <c r="C33" s="149"/>
      <c r="D33" s="149"/>
      <c r="E33" s="149"/>
      <c r="F33" s="150">
        <f>SUM(F34:F39)</f>
        <v>676</v>
      </c>
      <c r="G33" s="150">
        <f>SUM(G34:G39)</f>
        <v>2858740</v>
      </c>
      <c r="H33" s="150">
        <f>SUM(H34:H39)</f>
        <v>636</v>
      </c>
      <c r="I33" s="150">
        <f>SUM(I34:I39)</f>
        <v>2731618</v>
      </c>
      <c r="J33" s="210">
        <f>IFERROR((H33/F33*100)-100,"_")</f>
        <v>-5.9171597633136059</v>
      </c>
      <c r="K33" s="210">
        <f t="shared" ref="K33:K39" si="5">IFERROR((I33/G33*100)-100,"-")</f>
        <v>-4.4467842476055779</v>
      </c>
      <c r="L33" s="152"/>
      <c r="N33" s="148" t="s">
        <v>333</v>
      </c>
      <c r="O33" s="149"/>
      <c r="P33" s="149"/>
      <c r="Q33" s="149"/>
      <c r="R33" s="150">
        <f>SUM(R34:R36)</f>
        <v>310</v>
      </c>
      <c r="S33" s="150">
        <f>SUM(S34:S36)</f>
        <v>840664</v>
      </c>
      <c r="T33" s="150">
        <f>SUM(T34:T36)</f>
        <v>333</v>
      </c>
      <c r="U33" s="150">
        <f>SUM(U34:U36)</f>
        <v>952701</v>
      </c>
      <c r="V33" s="210">
        <f t="shared" ref="V33" si="6">IFERROR((T33/R33*100)-100,"_")</f>
        <v>7.4193548387096797</v>
      </c>
      <c r="W33" s="210">
        <f t="shared" ref="W33" si="7">IFERROR((U33/S33*100)-100,"-")</f>
        <v>13.327203258376713</v>
      </c>
      <c r="X33" s="152"/>
    </row>
    <row r="34" spans="2:24" s="4" customFormat="1" ht="23.1" customHeight="1">
      <c r="B34" s="142">
        <v>4</v>
      </c>
      <c r="C34" s="143">
        <v>30000</v>
      </c>
      <c r="D34" s="145" t="s">
        <v>159</v>
      </c>
      <c r="E34" s="365" t="s">
        <v>139</v>
      </c>
      <c r="F34" s="209">
        <f>IFERROR(VLOOKUP(B34,'부두별-세부구분'!$B$38:$F$46,5,0),"-")</f>
        <v>121</v>
      </c>
      <c r="G34" s="209">
        <f>IFERROR(VLOOKUP(B34,'부두별-세부구분'!$B$38:$G$46,6,0),"-")</f>
        <v>309949</v>
      </c>
      <c r="H34" s="209">
        <f>IFERROR(VLOOKUP(B34,'부두별-세부구분'!$B$38:$H$46,7,0),"-")</f>
        <v>117</v>
      </c>
      <c r="I34" s="209">
        <f>IFERROR(VLOOKUP(B34,'부두별-세부구분'!$B$38:$I$46,8,0),"-")</f>
        <v>268217</v>
      </c>
      <c r="J34" s="155">
        <f t="shared" ref="J34:J39" si="8">IFERROR((H34/F34*100)-100,"_")</f>
        <v>-3.3057851239669418</v>
      </c>
      <c r="K34" s="155">
        <f t="shared" si="5"/>
        <v>-13.464150553800792</v>
      </c>
      <c r="L34" s="153"/>
      <c r="N34" s="142">
        <v>1</v>
      </c>
      <c r="O34" s="143">
        <v>30000</v>
      </c>
      <c r="P34" s="145" t="s">
        <v>22</v>
      </c>
      <c r="Q34" s="145" t="s">
        <v>142</v>
      </c>
      <c r="R34" s="209">
        <f>IFERROR(VLOOKUP(N34,'부두별-세부구분'!$B$38:$F$46,5,0),"-")</f>
        <v>103</v>
      </c>
      <c r="S34" s="209">
        <f>IFERROR(VLOOKUP(N34,'부두별-세부구분'!$B$38:$G$46,6,0),"-")</f>
        <v>189889</v>
      </c>
      <c r="T34" s="209">
        <f>IFERROR(VLOOKUP(N34,'부두별-세부구분'!$B$38:$H$46,7,0),"-")</f>
        <v>114</v>
      </c>
      <c r="U34" s="209">
        <f>IFERROR(VLOOKUP(N34,'부두별-세부구분'!$B$38:$I$46,8,0),"-")</f>
        <v>213004</v>
      </c>
      <c r="V34" s="155">
        <f t="shared" ref="V34:V36" si="9">IFERROR((T34/R34*100)-100,"_")</f>
        <v>10.679611650485427</v>
      </c>
      <c r="W34" s="155">
        <f t="shared" ref="W34:W36" si="10">IFERROR((U34/S34*100)-100,"-")</f>
        <v>12.17290101059038</v>
      </c>
      <c r="X34" s="153"/>
    </row>
    <row r="35" spans="2:24" s="4" customFormat="1" ht="23.1" customHeight="1">
      <c r="B35" s="125">
        <v>5</v>
      </c>
      <c r="C35" s="100">
        <v>30000</v>
      </c>
      <c r="D35" s="99" t="s">
        <v>159</v>
      </c>
      <c r="E35" s="366"/>
      <c r="F35" s="106">
        <f>IFERROR(VLOOKUP(B35,'부두별-세부구분'!$B$38:$F$46,5,0),"-")</f>
        <v>140</v>
      </c>
      <c r="G35" s="106">
        <f>IFERROR(VLOOKUP(B35,'부두별-세부구분'!$B$38:$G$46,6,0),"-")</f>
        <v>372574</v>
      </c>
      <c r="H35" s="106">
        <f>IFERROR(VLOOKUP(B35,'부두별-세부구분'!$B$38:$H$46,7,0),"-")</f>
        <v>125</v>
      </c>
      <c r="I35" s="106">
        <f>IFERROR(VLOOKUP(B35,'부두별-세부구분'!$B$38:$I$46,8,0),"-")</f>
        <v>346332</v>
      </c>
      <c r="J35" s="104">
        <f t="shared" si="8"/>
        <v>-10.714285714285708</v>
      </c>
      <c r="K35" s="104">
        <f t="shared" si="5"/>
        <v>-7.0434329824410611</v>
      </c>
      <c r="L35" s="134"/>
      <c r="N35" s="125">
        <v>2</v>
      </c>
      <c r="O35" s="100">
        <v>30000</v>
      </c>
      <c r="P35" s="99" t="s">
        <v>22</v>
      </c>
      <c r="Q35" s="99" t="s">
        <v>107</v>
      </c>
      <c r="R35" s="106">
        <f>IFERROR(VLOOKUP(N35,'부두별-세부구분'!$B$38:$F$46,5,0),"-")</f>
        <v>96</v>
      </c>
      <c r="S35" s="106">
        <f>IFERROR(VLOOKUP(N35,'부두별-세부구분'!$B$38:$G$46,6,0),"-")</f>
        <v>294979</v>
      </c>
      <c r="T35" s="106">
        <f>IFERROR(VLOOKUP(N35,'부두별-세부구분'!$B$38:$H$46,7,0),"-")</f>
        <v>90</v>
      </c>
      <c r="U35" s="106">
        <f>IFERROR(VLOOKUP(N35,'부두별-세부구분'!$B$38:$I$46,8,0),"-")</f>
        <v>291173</v>
      </c>
      <c r="V35" s="104">
        <f t="shared" si="9"/>
        <v>-6.25</v>
      </c>
      <c r="W35" s="104">
        <f t="shared" si="10"/>
        <v>-1.2902613406378123</v>
      </c>
      <c r="X35" s="126"/>
    </row>
    <row r="36" spans="2:24" s="5" customFormat="1" ht="23.1" customHeight="1">
      <c r="B36" s="125">
        <v>6</v>
      </c>
      <c r="C36" s="100">
        <v>30000</v>
      </c>
      <c r="D36" s="99" t="s">
        <v>159</v>
      </c>
      <c r="E36" s="377" t="s">
        <v>154</v>
      </c>
      <c r="F36" s="106">
        <f>IFERROR(VLOOKUP(B36,'부두별-세부구분'!$B$38:$F$46,5,0),"-")</f>
        <v>118</v>
      </c>
      <c r="G36" s="106">
        <f>IFERROR(VLOOKUP(B36,'부두별-세부구분'!$B$38:$G$46,6,0),"-")</f>
        <v>286185</v>
      </c>
      <c r="H36" s="106">
        <f>IFERROR(VLOOKUP(B36,'부두별-세부구분'!$B$38:$H$46,7,0),"-")</f>
        <v>112</v>
      </c>
      <c r="I36" s="106">
        <f>IFERROR(VLOOKUP(B36,'부두별-세부구분'!$B$38:$I$46,8,0),"-")</f>
        <v>236082</v>
      </c>
      <c r="J36" s="104">
        <f t="shared" si="8"/>
        <v>-5.0847457627118615</v>
      </c>
      <c r="K36" s="104">
        <f t="shared" si="5"/>
        <v>-17.507206876670693</v>
      </c>
      <c r="L36" s="126"/>
      <c r="N36" s="128">
        <v>3</v>
      </c>
      <c r="O36" s="135">
        <v>30000</v>
      </c>
      <c r="P36" s="130" t="s">
        <v>22</v>
      </c>
      <c r="Q36" s="130" t="s">
        <v>144</v>
      </c>
      <c r="R36" s="161">
        <f>IFERROR(VLOOKUP(N36,'부두별-세부구분'!$B$38:$F$46,5,0),"-")</f>
        <v>111</v>
      </c>
      <c r="S36" s="161">
        <f>IFERROR(VLOOKUP(N36,'부두별-세부구분'!$B$38:$G$46,6,0),"-")</f>
        <v>355796</v>
      </c>
      <c r="T36" s="161">
        <f>IFERROR(VLOOKUP(N36,'부두별-세부구분'!$B$38:$H$46,7,0),"-")</f>
        <v>129</v>
      </c>
      <c r="U36" s="161">
        <f>IFERROR(VLOOKUP(N36,'부두별-세부구분'!$B$38:$I$46,8,0),"-")</f>
        <v>448524</v>
      </c>
      <c r="V36" s="162">
        <f t="shared" si="9"/>
        <v>16.21621621621621</v>
      </c>
      <c r="W36" s="162">
        <f t="shared" si="10"/>
        <v>26.06212548763898</v>
      </c>
      <c r="X36" s="133"/>
    </row>
    <row r="37" spans="2:24" s="5" customFormat="1" ht="23.1" customHeight="1">
      <c r="B37" s="125">
        <v>7</v>
      </c>
      <c r="C37" s="100">
        <v>30000</v>
      </c>
      <c r="D37" s="99" t="s">
        <v>159</v>
      </c>
      <c r="E37" s="377"/>
      <c r="F37" s="106">
        <f>IFERROR(VLOOKUP(B37,'부두별-세부구분'!$B$38:$F$46,5,0),"-")</f>
        <v>114</v>
      </c>
      <c r="G37" s="106">
        <f>IFERROR(VLOOKUP(B37,'부두별-세부구분'!$B$38:$G$46,6,0),"-")</f>
        <v>281680</v>
      </c>
      <c r="H37" s="106">
        <f>IFERROR(VLOOKUP(B37,'부두별-세부구분'!$B$38:$H$46,7,0),"-")</f>
        <v>89</v>
      </c>
      <c r="I37" s="106">
        <f>IFERROR(VLOOKUP(B37,'부두별-세부구분'!$B$38:$I$46,8,0),"-")</f>
        <v>291122</v>
      </c>
      <c r="J37" s="104">
        <f t="shared" si="8"/>
        <v>-21.929824561403507</v>
      </c>
      <c r="K37" s="104">
        <f t="shared" si="5"/>
        <v>3.3520306731042382</v>
      </c>
      <c r="L37" s="126"/>
      <c r="N37" s="2"/>
      <c r="O37" s="30"/>
      <c r="P37" s="2"/>
      <c r="Q37" s="2"/>
      <c r="R37" s="24"/>
      <c r="S37" s="24"/>
      <c r="T37" s="24"/>
      <c r="U37" s="24"/>
      <c r="V37" s="10"/>
      <c r="W37" s="10"/>
      <c r="X37" s="26"/>
    </row>
    <row r="38" spans="2:24" s="5" customFormat="1" ht="23.1" customHeight="1">
      <c r="B38" s="125">
        <v>8</v>
      </c>
      <c r="C38" s="100">
        <v>50000</v>
      </c>
      <c r="D38" s="99" t="s">
        <v>27</v>
      </c>
      <c r="E38" s="366" t="s">
        <v>140</v>
      </c>
      <c r="F38" s="106">
        <f>IFERROR(VLOOKUP(B38,'부두별-세부구분'!$B$38:$F$46,5,0),"-")</f>
        <v>104</v>
      </c>
      <c r="G38" s="106">
        <f>IFERROR(VLOOKUP(B38,'부두별-세부구분'!$B$38:$G$46,6,0),"-")</f>
        <v>827079</v>
      </c>
      <c r="H38" s="106">
        <f>IFERROR(VLOOKUP(B38,'부두별-세부구분'!$B$38:$H$46,7,0),"-")</f>
        <v>101</v>
      </c>
      <c r="I38" s="106">
        <f>IFERROR(VLOOKUP(B38,'부두별-세부구분'!$B$38:$I$46,8,0),"-")</f>
        <v>749645</v>
      </c>
      <c r="J38" s="104">
        <f t="shared" si="8"/>
        <v>-2.8846153846153868</v>
      </c>
      <c r="K38" s="104">
        <f t="shared" si="5"/>
        <v>-9.3623462813104936</v>
      </c>
      <c r="L38" s="126"/>
      <c r="N38" s="2"/>
      <c r="O38" s="30"/>
      <c r="P38" s="2"/>
      <c r="Q38" s="2"/>
      <c r="R38" s="24"/>
      <c r="S38" s="24"/>
      <c r="T38" s="24"/>
      <c r="U38" s="24"/>
      <c r="V38" s="10"/>
      <c r="W38" s="10"/>
      <c r="X38" s="26"/>
    </row>
    <row r="39" spans="2:24" s="5" customFormat="1" ht="23.1" customHeight="1">
      <c r="B39" s="128">
        <v>9</v>
      </c>
      <c r="C39" s="135">
        <v>50000</v>
      </c>
      <c r="D39" s="130" t="s">
        <v>27</v>
      </c>
      <c r="E39" s="373"/>
      <c r="F39" s="161">
        <f>IFERROR(VLOOKUP(B39,'부두별-세부구분'!$B$38:$F$46,5,0),"-")</f>
        <v>79</v>
      </c>
      <c r="G39" s="161">
        <f>IFERROR(VLOOKUP(B39,'부두별-세부구분'!$B$38:$G$46,6,0),"-")</f>
        <v>781273</v>
      </c>
      <c r="H39" s="161">
        <f>IFERROR(VLOOKUP(B39,'부두별-세부구분'!$B$38:$H$46,7,0),"-")</f>
        <v>92</v>
      </c>
      <c r="I39" s="161">
        <f>IFERROR(VLOOKUP(B39,'부두별-세부구분'!$B$38:$I$46,8,0),"-")</f>
        <v>840220</v>
      </c>
      <c r="J39" s="162">
        <f t="shared" si="8"/>
        <v>16.455696202531641</v>
      </c>
      <c r="K39" s="162">
        <f t="shared" si="5"/>
        <v>7.5449938753802996</v>
      </c>
      <c r="L39" s="133"/>
      <c r="N39" s="2"/>
      <c r="O39" s="30"/>
      <c r="P39" s="2"/>
      <c r="Q39" s="2"/>
      <c r="R39" s="24"/>
      <c r="S39" s="24"/>
      <c r="T39" s="24"/>
      <c r="U39" s="24"/>
      <c r="V39" s="10"/>
      <c r="W39" s="10"/>
      <c r="X39" s="26"/>
    </row>
    <row r="40" spans="2:24" s="5" customFormat="1" ht="13.5" customHeight="1">
      <c r="B40" s="2"/>
      <c r="C40" s="28"/>
      <c r="D40" s="2"/>
      <c r="E40" s="2"/>
      <c r="F40" s="24"/>
      <c r="G40" s="24"/>
      <c r="H40" s="25"/>
      <c r="I40" s="25"/>
      <c r="J40" s="10"/>
      <c r="K40" s="10"/>
      <c r="L40" s="26"/>
      <c r="N40" s="2"/>
      <c r="O40" s="30"/>
      <c r="P40" s="2"/>
      <c r="Q40" s="2"/>
      <c r="R40" s="24"/>
      <c r="S40" s="24"/>
      <c r="T40" s="24"/>
      <c r="U40" s="24"/>
      <c r="V40" s="10"/>
      <c r="W40" s="10"/>
      <c r="X40" s="26"/>
    </row>
    <row r="41" spans="2:24" s="3" customFormat="1" ht="30" customHeight="1">
      <c r="B41" s="363" t="s">
        <v>314</v>
      </c>
      <c r="C41" s="363"/>
      <c r="E41" s="49"/>
      <c r="F41" s="9"/>
      <c r="G41" s="9"/>
      <c r="H41" s="18"/>
      <c r="I41" s="45"/>
      <c r="J41" s="9"/>
      <c r="K41" s="352" t="s">
        <v>300</v>
      </c>
      <c r="L41" s="352"/>
      <c r="N41" s="363" t="s">
        <v>314</v>
      </c>
      <c r="O41" s="363"/>
      <c r="Q41" s="49"/>
      <c r="R41" s="9"/>
      <c r="S41" s="9"/>
      <c r="T41" s="18"/>
      <c r="U41" s="45"/>
      <c r="V41" s="9"/>
      <c r="W41" s="352" t="s">
        <v>300</v>
      </c>
      <c r="X41" s="352"/>
    </row>
    <row r="42" spans="2:24" s="4" customFormat="1" ht="20.100000000000001" customHeight="1">
      <c r="B42" s="346" t="s">
        <v>0</v>
      </c>
      <c r="C42" s="369" t="s">
        <v>1</v>
      </c>
      <c r="D42" s="347" t="s">
        <v>2</v>
      </c>
      <c r="E42" s="347" t="s">
        <v>3</v>
      </c>
      <c r="F42" s="344" t="s">
        <v>66</v>
      </c>
      <c r="G42" s="344"/>
      <c r="H42" s="344"/>
      <c r="I42" s="344"/>
      <c r="J42" s="344" t="s">
        <v>67</v>
      </c>
      <c r="K42" s="344"/>
      <c r="L42" s="339" t="s">
        <v>14</v>
      </c>
      <c r="N42" s="378" t="s">
        <v>0</v>
      </c>
      <c r="O42" s="381" t="s">
        <v>1</v>
      </c>
      <c r="P42" s="384" t="s">
        <v>2</v>
      </c>
      <c r="Q42" s="384" t="s">
        <v>3</v>
      </c>
      <c r="R42" s="387" t="s">
        <v>66</v>
      </c>
      <c r="S42" s="387"/>
      <c r="T42" s="387"/>
      <c r="U42" s="387"/>
      <c r="V42" s="387" t="s">
        <v>67</v>
      </c>
      <c r="W42" s="387"/>
      <c r="X42" s="389" t="s">
        <v>14</v>
      </c>
    </row>
    <row r="43" spans="2:24" s="4" customFormat="1" ht="20.100000000000001" customHeight="1">
      <c r="B43" s="348"/>
      <c r="C43" s="370"/>
      <c r="D43" s="349"/>
      <c r="E43" s="349"/>
      <c r="F43" s="354" t="str">
        <f>'총 계'!F7:G7</f>
        <v xml:space="preserve">'25.5월 누계 </v>
      </c>
      <c r="G43" s="354"/>
      <c r="H43" s="354" t="str">
        <f>'총 계'!H7:I7</f>
        <v>'26.5월 누계</v>
      </c>
      <c r="I43" s="354"/>
      <c r="J43" s="345"/>
      <c r="K43" s="345"/>
      <c r="L43" s="340"/>
      <c r="N43" s="379"/>
      <c r="O43" s="382"/>
      <c r="P43" s="385"/>
      <c r="Q43" s="385"/>
      <c r="R43" s="392" t="str">
        <f>F9</f>
        <v xml:space="preserve">'25.5월 누계 </v>
      </c>
      <c r="S43" s="392"/>
      <c r="T43" s="392" t="str">
        <f>H9</f>
        <v>'26.5월 누계</v>
      </c>
      <c r="U43" s="392"/>
      <c r="V43" s="388"/>
      <c r="W43" s="388"/>
      <c r="X43" s="390"/>
    </row>
    <row r="44" spans="2:24" s="4" customFormat="1" ht="30" customHeight="1" thickBot="1">
      <c r="B44" s="368"/>
      <c r="C44" s="371"/>
      <c r="D44" s="374"/>
      <c r="E44" s="374"/>
      <c r="F44" s="141" t="s">
        <v>71</v>
      </c>
      <c r="G44" s="141" t="s">
        <v>72</v>
      </c>
      <c r="H44" s="141" t="s">
        <v>325</v>
      </c>
      <c r="I44" s="141" t="s">
        <v>74</v>
      </c>
      <c r="J44" s="141" t="s">
        <v>75</v>
      </c>
      <c r="K44" s="141" t="s">
        <v>76</v>
      </c>
      <c r="L44" s="364"/>
      <c r="N44" s="380"/>
      <c r="O44" s="383"/>
      <c r="P44" s="386"/>
      <c r="Q44" s="386"/>
      <c r="R44" s="211" t="s">
        <v>71</v>
      </c>
      <c r="S44" s="211" t="s">
        <v>72</v>
      </c>
      <c r="T44" s="211" t="s">
        <v>325</v>
      </c>
      <c r="U44" s="211" t="s">
        <v>74</v>
      </c>
      <c r="V44" s="211" t="s">
        <v>75</v>
      </c>
      <c r="W44" s="211" t="s">
        <v>76</v>
      </c>
      <c r="X44" s="391"/>
    </row>
    <row r="45" spans="2:24" s="4" customFormat="1" ht="23.1" customHeight="1" thickBot="1">
      <c r="B45" s="219" t="s">
        <v>333</v>
      </c>
      <c r="C45" s="220"/>
      <c r="D45" s="220"/>
      <c r="E45" s="220"/>
      <c r="F45" s="221">
        <f>SUM(F46:F48)</f>
        <v>317</v>
      </c>
      <c r="G45" s="221">
        <f>SUM(G46:G48)</f>
        <v>779196</v>
      </c>
      <c r="H45" s="221">
        <f>SUM(H46:H48)</f>
        <v>186</v>
      </c>
      <c r="I45" s="221">
        <f>SUM(I46:I48)</f>
        <v>503691</v>
      </c>
      <c r="J45" s="210">
        <f t="shared" ref="J45:J48" si="11">IFERROR((H45/F45*100)-100,"_")</f>
        <v>-41.324921135646683</v>
      </c>
      <c r="K45" s="210">
        <f t="shared" ref="K45:K48" si="12">IFERROR((I45/G45*100)-100,"-")</f>
        <v>-35.357599371660015</v>
      </c>
      <c r="L45" s="222"/>
      <c r="N45" s="148" t="s">
        <v>333</v>
      </c>
      <c r="O45" s="149"/>
      <c r="P45" s="149"/>
      <c r="Q45" s="223"/>
      <c r="R45" s="224">
        <f>SUM(R46:R51)</f>
        <v>656</v>
      </c>
      <c r="S45" s="224">
        <f t="shared" ref="S45:U45" si="13">SUM(S46:S51)</f>
        <v>1532096</v>
      </c>
      <c r="T45" s="224">
        <f t="shared" si="13"/>
        <v>492</v>
      </c>
      <c r="U45" s="224">
        <f t="shared" si="13"/>
        <v>1367327</v>
      </c>
      <c r="V45" s="210">
        <f t="shared" ref="V45:W51" si="14">IFERROR((T45/R45*100)-100,"_")</f>
        <v>-25</v>
      </c>
      <c r="W45" s="210">
        <f t="shared" si="14"/>
        <v>-10.754482747817377</v>
      </c>
      <c r="X45" s="225"/>
    </row>
    <row r="46" spans="2:24" s="4" customFormat="1" ht="23.1" customHeight="1">
      <c r="B46" s="213">
        <v>1</v>
      </c>
      <c r="C46" s="214">
        <v>5000</v>
      </c>
      <c r="D46" s="215" t="s">
        <v>141</v>
      </c>
      <c r="E46" s="215" t="s">
        <v>109</v>
      </c>
      <c r="F46" s="216">
        <f>IFERROR(VLOOKUP(B46,'부두별-세부구분'!$B$53:$F$61,5,0),"-")</f>
        <v>69</v>
      </c>
      <c r="G46" s="216">
        <f>IFERROR(VLOOKUP(B46,'부두별-세부구분'!$B$53:$G$61,6,0),"-")</f>
        <v>7218</v>
      </c>
      <c r="H46" s="217">
        <f>IFERROR(VLOOKUP(B46,'부두별-세부구분'!$B$53:$H$61,7,0),"-")</f>
        <v>23</v>
      </c>
      <c r="I46" s="217">
        <f>IFERROR(VLOOKUP(B46,'부두별-세부구분'!$B$53:$I$61,8,0),"-")</f>
        <v>12430</v>
      </c>
      <c r="J46" s="155">
        <f t="shared" si="11"/>
        <v>-66.666666666666671</v>
      </c>
      <c r="K46" s="155">
        <f t="shared" si="12"/>
        <v>72.208367968966485</v>
      </c>
      <c r="L46" s="218"/>
      <c r="N46" s="142">
        <v>2</v>
      </c>
      <c r="O46" s="143">
        <v>50000</v>
      </c>
      <c r="P46" s="145" t="s">
        <v>7</v>
      </c>
      <c r="Q46" s="365" t="s">
        <v>109</v>
      </c>
      <c r="R46" s="216">
        <f>IFERROR(VLOOKUP(N46,'부두별-세부구분'!$B$53:$F$61,5,0),"-")</f>
        <v>101</v>
      </c>
      <c r="S46" s="216">
        <f>IFERROR(VLOOKUP(N46,'부두별-세부구분'!$B$53:$G$61,6,0),"-")</f>
        <v>207832</v>
      </c>
      <c r="T46" s="217">
        <f>IFERROR(VLOOKUP(N46,'부두별-세부구분'!$B$53:$H$61,7,0),"-")</f>
        <v>68</v>
      </c>
      <c r="U46" s="217">
        <f>IFERROR(VLOOKUP(N46,'부두별-세부구분'!$B$53:$I$61,8,0),"-")</f>
        <v>100028</v>
      </c>
      <c r="V46" s="155">
        <f t="shared" ref="V46:V51" si="15">IFERROR((T46/R46*100)-100,"_")</f>
        <v>-32.67326732673267</v>
      </c>
      <c r="W46" s="155">
        <f t="shared" si="14"/>
        <v>-51.870741752954309</v>
      </c>
      <c r="X46" s="147"/>
    </row>
    <row r="47" spans="2:24" s="4" customFormat="1" ht="23.1" customHeight="1">
      <c r="B47" s="125">
        <v>7</v>
      </c>
      <c r="C47" s="100">
        <v>30000</v>
      </c>
      <c r="D47" s="99" t="s">
        <v>110</v>
      </c>
      <c r="E47" s="99" t="s">
        <v>111</v>
      </c>
      <c r="F47" s="110">
        <f>IFERROR(VLOOKUP(B47,'부두별-세부구분'!$B$53:$F$61,5,0),"-")</f>
        <v>91</v>
      </c>
      <c r="G47" s="110">
        <f>IFERROR(VLOOKUP(B47,'부두별-세부구분'!$B$53:$G$61,6,0),"-")</f>
        <v>400102</v>
      </c>
      <c r="H47" s="111">
        <f>IFERROR(VLOOKUP(B47,'부두별-세부구분'!$B$53:$H$61,7,0),"-")</f>
        <v>85</v>
      </c>
      <c r="I47" s="111">
        <f>IFERROR(VLOOKUP(B47,'부두별-세부구분'!$B$53:$I$61,8,0),"-")</f>
        <v>224454</v>
      </c>
      <c r="J47" s="104">
        <f t="shared" si="11"/>
        <v>-6.5934065934065984</v>
      </c>
      <c r="K47" s="104">
        <f t="shared" si="12"/>
        <v>-43.900805294649871</v>
      </c>
      <c r="L47" s="126"/>
      <c r="N47" s="125">
        <v>3</v>
      </c>
      <c r="O47" s="100">
        <v>50000</v>
      </c>
      <c r="P47" s="99" t="s">
        <v>7</v>
      </c>
      <c r="Q47" s="366"/>
      <c r="R47" s="110">
        <f>IFERROR(VLOOKUP(N47,'부두별-세부구분'!$B$53:$F$61,5,0),"-")</f>
        <v>243</v>
      </c>
      <c r="S47" s="110">
        <f>IFERROR(VLOOKUP(N47,'부두별-세부구분'!$B$53:$G$61,6,0),"-")</f>
        <v>491215</v>
      </c>
      <c r="T47" s="111">
        <f>IFERROR(VLOOKUP(N47,'부두별-세부구분'!$B$53:$H$61,7,0),"-")</f>
        <v>212</v>
      </c>
      <c r="U47" s="111">
        <f>IFERROR(VLOOKUP(N47,'부두별-세부구분'!$B$53:$I$61,8,0),"-")</f>
        <v>445565</v>
      </c>
      <c r="V47" s="104">
        <f t="shared" si="15"/>
        <v>-12.757201646090536</v>
      </c>
      <c r="W47" s="104">
        <f t="shared" si="14"/>
        <v>-9.2932829819936273</v>
      </c>
      <c r="X47" s="126"/>
    </row>
    <row r="48" spans="2:24" s="5" customFormat="1" ht="23.1" customHeight="1">
      <c r="B48" s="128">
        <v>8</v>
      </c>
      <c r="C48" s="135">
        <v>50000</v>
      </c>
      <c r="D48" s="130" t="s">
        <v>110</v>
      </c>
      <c r="E48" s="169" t="s">
        <v>112</v>
      </c>
      <c r="F48" s="170">
        <f>IFERROR(VLOOKUP(B48,'부두별-세부구분'!$B$53:$F$61,5,0),"-")</f>
        <v>157</v>
      </c>
      <c r="G48" s="170">
        <f>IFERROR(VLOOKUP(B48,'부두별-세부구분'!$B$53:$G$61,6,0),"-")</f>
        <v>371876</v>
      </c>
      <c r="H48" s="171">
        <f>IFERROR(VLOOKUP(B48,'부두별-세부구분'!$B$53:$H$61,7,0),"-")</f>
        <v>78</v>
      </c>
      <c r="I48" s="171">
        <f>IFERROR(VLOOKUP(B48,'부두별-세부구분'!$B$53:$I$61,8,0),"-")</f>
        <v>266807</v>
      </c>
      <c r="J48" s="162">
        <f t="shared" si="11"/>
        <v>-50.318471337579616</v>
      </c>
      <c r="K48" s="162">
        <f t="shared" si="12"/>
        <v>-28.253772762964005</v>
      </c>
      <c r="L48" s="133"/>
      <c r="N48" s="125">
        <v>4</v>
      </c>
      <c r="O48" s="100">
        <v>50000</v>
      </c>
      <c r="P48" s="99" t="s">
        <v>7</v>
      </c>
      <c r="Q48" s="366"/>
      <c r="R48" s="110">
        <f>IFERROR(VLOOKUP(N48,'부두별-세부구분'!$B$53:$F$61,5,0),"-")</f>
        <v>40</v>
      </c>
      <c r="S48" s="110">
        <f>IFERROR(VLOOKUP(N48,'부두별-세부구분'!$B$53:$G$61,6,0),"-")</f>
        <v>78855</v>
      </c>
      <c r="T48" s="111">
        <f>IFERROR(VLOOKUP(N48,'부두별-세부구분'!$B$53:$H$61,7,0),"-")</f>
        <v>36</v>
      </c>
      <c r="U48" s="111">
        <f>IFERROR(VLOOKUP(N48,'부두별-세부구분'!$B$53:$I$61,8,0),"-")</f>
        <v>83456</v>
      </c>
      <c r="V48" s="104">
        <f t="shared" si="15"/>
        <v>-10</v>
      </c>
      <c r="W48" s="104">
        <f t="shared" si="14"/>
        <v>5.8347600025363136</v>
      </c>
      <c r="X48" s="126"/>
    </row>
    <row r="49" spans="2:24" s="5" customFormat="1" ht="23.1" customHeight="1">
      <c r="B49" s="2"/>
      <c r="C49" s="54"/>
      <c r="D49" s="55"/>
      <c r="E49" s="56"/>
      <c r="F49" s="24" t="s">
        <v>323</v>
      </c>
      <c r="G49" s="24"/>
      <c r="H49" s="24"/>
      <c r="I49" s="24"/>
      <c r="J49" s="10"/>
      <c r="K49" s="10"/>
      <c r="L49" s="26"/>
      <c r="N49" s="125">
        <v>5</v>
      </c>
      <c r="O49" s="100">
        <v>30000</v>
      </c>
      <c r="P49" s="99" t="s">
        <v>7</v>
      </c>
      <c r="Q49" s="366"/>
      <c r="R49" s="110">
        <f>IFERROR(VLOOKUP(N49,'부두별-세부구분'!$B$53:$F$61,5,0),"-")</f>
        <v>37</v>
      </c>
      <c r="S49" s="110">
        <f>IFERROR(VLOOKUP(N49,'부두별-세부구분'!$B$53:$G$61,6,0),"-")</f>
        <v>187212</v>
      </c>
      <c r="T49" s="111">
        <f>IFERROR(VLOOKUP(N49,'부두별-세부구분'!$B$53:$H$61,7,0),"-")</f>
        <v>25</v>
      </c>
      <c r="U49" s="111">
        <f>IFERROR(VLOOKUP(N49,'부두별-세부구분'!$B$53:$I$61,8,0),"-")</f>
        <v>142905</v>
      </c>
      <c r="V49" s="104">
        <f t="shared" si="15"/>
        <v>-32.432432432432435</v>
      </c>
      <c r="W49" s="104">
        <f t="shared" si="14"/>
        <v>-23.66675213127364</v>
      </c>
      <c r="X49" s="126"/>
    </row>
    <row r="50" spans="2:24" s="3" customFormat="1" ht="23.1" customHeight="1">
      <c r="B50" s="2"/>
      <c r="C50" s="54"/>
      <c r="D50" s="55"/>
      <c r="E50" s="56"/>
      <c r="F50" s="24"/>
      <c r="G50" s="24"/>
      <c r="H50" s="24"/>
      <c r="I50" s="24"/>
      <c r="J50" s="10"/>
      <c r="K50" s="10"/>
      <c r="L50" s="26"/>
      <c r="N50" s="125">
        <v>6</v>
      </c>
      <c r="O50" s="100">
        <v>30000</v>
      </c>
      <c r="P50" s="99" t="s">
        <v>7</v>
      </c>
      <c r="Q50" s="366"/>
      <c r="R50" s="110">
        <f>IFERROR(VLOOKUP(N50,'부두별-세부구분'!$B$53:$F$61,5,0),"-")</f>
        <v>29</v>
      </c>
      <c r="S50" s="110">
        <f>IFERROR(VLOOKUP(N50,'부두별-세부구분'!$B$53:$G$61,6,0),"-")</f>
        <v>140097</v>
      </c>
      <c r="T50" s="111">
        <f>IFERROR(VLOOKUP(N50,'부두별-세부구분'!$B$53:$H$61,7,0),"-")</f>
        <v>35</v>
      </c>
      <c r="U50" s="111">
        <f>IFERROR(VLOOKUP(N50,'부두별-세부구분'!$B$53:$I$61,8,0),"-")</f>
        <v>80890</v>
      </c>
      <c r="V50" s="104">
        <f t="shared" si="15"/>
        <v>20.689655172413794</v>
      </c>
      <c r="W50" s="104">
        <f t="shared" si="14"/>
        <v>-42.261433149889008</v>
      </c>
      <c r="X50" s="126"/>
    </row>
    <row r="51" spans="2:24" s="4" customFormat="1" ht="23.1" customHeight="1">
      <c r="B51" s="2"/>
      <c r="C51" s="54"/>
      <c r="D51" s="55"/>
      <c r="E51" s="56"/>
      <c r="F51" s="24"/>
      <c r="G51" s="24"/>
      <c r="H51" s="24"/>
      <c r="I51" s="24"/>
      <c r="J51" s="10"/>
      <c r="K51" s="10"/>
      <c r="L51" s="26"/>
      <c r="N51" s="128">
        <v>9</v>
      </c>
      <c r="O51" s="135">
        <v>50000</v>
      </c>
      <c r="P51" s="130" t="s">
        <v>7</v>
      </c>
      <c r="Q51" s="130" t="s">
        <v>113</v>
      </c>
      <c r="R51" s="170">
        <f>IFERROR(VLOOKUP(N51,'부두별-세부구분'!$B$53:$F$61,5,0),"-")</f>
        <v>206</v>
      </c>
      <c r="S51" s="170">
        <f>IFERROR(VLOOKUP(N51,'부두별-세부구분'!$B$53:$G$61,6,0),"-")</f>
        <v>426885</v>
      </c>
      <c r="T51" s="171">
        <f>IFERROR(VLOOKUP(N51,'부두별-세부구분'!$B$53:$H$61,7,0),"-")</f>
        <v>116</v>
      </c>
      <c r="U51" s="171">
        <f>IFERROR(VLOOKUP(N51,'부두별-세부구분'!$B$53:$I$61,8,0),"-")</f>
        <v>514483</v>
      </c>
      <c r="V51" s="162">
        <f t="shared" si="15"/>
        <v>-43.689320388349515</v>
      </c>
      <c r="W51" s="162">
        <f t="shared" si="14"/>
        <v>20.520280637642458</v>
      </c>
      <c r="X51" s="133"/>
    </row>
    <row r="52" spans="2:24" s="4" customFormat="1" ht="13.5" customHeight="1">
      <c r="B52" s="2"/>
      <c r="C52" s="54"/>
      <c r="D52" s="55"/>
      <c r="E52" s="56"/>
      <c r="F52" s="24"/>
      <c r="G52" s="24"/>
      <c r="H52" s="24"/>
      <c r="I52" s="24"/>
      <c r="J52" s="10"/>
      <c r="K52" s="10"/>
      <c r="L52" s="26"/>
      <c r="N52" s="2"/>
      <c r="O52" s="2"/>
      <c r="P52" s="2"/>
      <c r="Q52" s="2"/>
      <c r="R52" s="24"/>
      <c r="S52" s="24"/>
      <c r="T52" s="24"/>
      <c r="U52" s="24"/>
      <c r="V52" s="10"/>
      <c r="W52" s="10"/>
      <c r="X52" s="26"/>
    </row>
    <row r="53" spans="2:24" s="4" customFormat="1" ht="30" customHeight="1">
      <c r="B53" s="363" t="s">
        <v>315</v>
      </c>
      <c r="C53" s="363"/>
      <c r="D53" s="3"/>
      <c r="E53" s="49"/>
      <c r="F53" s="9"/>
      <c r="G53" s="9"/>
      <c r="H53" s="18"/>
      <c r="I53" s="45"/>
      <c r="J53" s="9"/>
      <c r="K53" s="352" t="s">
        <v>300</v>
      </c>
      <c r="L53" s="352"/>
      <c r="N53" s="363" t="s">
        <v>315</v>
      </c>
      <c r="O53" s="363"/>
      <c r="P53" s="3"/>
      <c r="Q53" s="49"/>
      <c r="R53" s="9"/>
      <c r="S53" s="9"/>
      <c r="T53" s="18"/>
      <c r="U53" s="45"/>
      <c r="V53" s="9"/>
      <c r="W53" s="352" t="s">
        <v>300</v>
      </c>
      <c r="X53" s="352"/>
    </row>
    <row r="54" spans="2:24" s="4" customFormat="1" ht="20.100000000000001" customHeight="1">
      <c r="B54" s="346" t="s">
        <v>0</v>
      </c>
      <c r="C54" s="369" t="s">
        <v>1</v>
      </c>
      <c r="D54" s="347" t="s">
        <v>2</v>
      </c>
      <c r="E54" s="347" t="s">
        <v>3</v>
      </c>
      <c r="F54" s="344" t="s">
        <v>66</v>
      </c>
      <c r="G54" s="344"/>
      <c r="H54" s="344"/>
      <c r="I54" s="344"/>
      <c r="J54" s="344" t="s">
        <v>67</v>
      </c>
      <c r="K54" s="344"/>
      <c r="L54" s="339" t="s">
        <v>14</v>
      </c>
      <c r="N54" s="378" t="s">
        <v>0</v>
      </c>
      <c r="O54" s="381" t="s">
        <v>1</v>
      </c>
      <c r="P54" s="384" t="s">
        <v>2</v>
      </c>
      <c r="Q54" s="384" t="s">
        <v>3</v>
      </c>
      <c r="R54" s="387" t="s">
        <v>66</v>
      </c>
      <c r="S54" s="387"/>
      <c r="T54" s="387"/>
      <c r="U54" s="387"/>
      <c r="V54" s="387" t="s">
        <v>67</v>
      </c>
      <c r="W54" s="387"/>
      <c r="X54" s="389" t="s">
        <v>14</v>
      </c>
    </row>
    <row r="55" spans="2:24" s="5" customFormat="1" ht="20.100000000000001" customHeight="1">
      <c r="B55" s="348"/>
      <c r="C55" s="370"/>
      <c r="D55" s="349"/>
      <c r="E55" s="349"/>
      <c r="F55" s="354" t="str">
        <f>'총 계'!F7:G7</f>
        <v xml:space="preserve">'25.5월 누계 </v>
      </c>
      <c r="G55" s="354"/>
      <c r="H55" s="354" t="str">
        <f>'총 계'!H7:I7</f>
        <v>'26.5월 누계</v>
      </c>
      <c r="I55" s="354"/>
      <c r="J55" s="345"/>
      <c r="K55" s="345"/>
      <c r="L55" s="340"/>
      <c r="N55" s="379"/>
      <c r="O55" s="382"/>
      <c r="P55" s="385"/>
      <c r="Q55" s="385"/>
      <c r="R55" s="392" t="str">
        <f>F9</f>
        <v xml:space="preserve">'25.5월 누계 </v>
      </c>
      <c r="S55" s="392"/>
      <c r="T55" s="392" t="str">
        <f>H9</f>
        <v>'26.5월 누계</v>
      </c>
      <c r="U55" s="392"/>
      <c r="V55" s="388"/>
      <c r="W55" s="388"/>
      <c r="X55" s="390"/>
    </row>
    <row r="56" spans="2:24" s="5" customFormat="1" ht="30" customHeight="1" thickBot="1">
      <c r="B56" s="368"/>
      <c r="C56" s="371"/>
      <c r="D56" s="374"/>
      <c r="E56" s="374"/>
      <c r="F56" s="141" t="s">
        <v>71</v>
      </c>
      <c r="G56" s="141" t="s">
        <v>72</v>
      </c>
      <c r="H56" s="141" t="s">
        <v>325</v>
      </c>
      <c r="I56" s="141" t="s">
        <v>74</v>
      </c>
      <c r="J56" s="141" t="s">
        <v>75</v>
      </c>
      <c r="K56" s="141" t="s">
        <v>76</v>
      </c>
      <c r="L56" s="364"/>
      <c r="N56" s="380"/>
      <c r="O56" s="383"/>
      <c r="P56" s="386"/>
      <c r="Q56" s="386"/>
      <c r="R56" s="211" t="s">
        <v>71</v>
      </c>
      <c r="S56" s="211" t="s">
        <v>72</v>
      </c>
      <c r="T56" s="211" t="s">
        <v>325</v>
      </c>
      <c r="U56" s="211" t="s">
        <v>74</v>
      </c>
      <c r="V56" s="211" t="s">
        <v>75</v>
      </c>
      <c r="W56" s="211" t="s">
        <v>76</v>
      </c>
      <c r="X56" s="391"/>
    </row>
    <row r="57" spans="2:24" s="5" customFormat="1" ht="23.1" customHeight="1" thickBot="1">
      <c r="B57" s="148" t="s">
        <v>333</v>
      </c>
      <c r="C57" s="149"/>
      <c r="D57" s="149"/>
      <c r="E57" s="149"/>
      <c r="F57" s="150">
        <f>SUM(F58:F60)</f>
        <v>348</v>
      </c>
      <c r="G57" s="150">
        <f t="shared" ref="G57:I57" si="16">SUM(G58:G60)</f>
        <v>1253266</v>
      </c>
      <c r="H57" s="150">
        <f t="shared" si="16"/>
        <v>361</v>
      </c>
      <c r="I57" s="150">
        <f t="shared" si="16"/>
        <v>1229829</v>
      </c>
      <c r="J57" s="210">
        <f t="shared" ref="J57:J60" si="17">IFERROR((H57/F57*100)-100,"_")</f>
        <v>3.735632183908038</v>
      </c>
      <c r="K57" s="210">
        <f t="shared" ref="K57:K60" si="18">IFERROR((I57/G57*100)-100,"-")</f>
        <v>-1.8700738709898701</v>
      </c>
      <c r="L57" s="152"/>
      <c r="N57" s="148" t="s">
        <v>334</v>
      </c>
      <c r="O57" s="149"/>
      <c r="P57" s="149"/>
      <c r="Q57" s="149"/>
      <c r="R57" s="150">
        <f>SUM(R58:R67)</f>
        <v>750</v>
      </c>
      <c r="S57" s="150">
        <f t="shared" ref="S57:U57" si="19">SUM(S58:S67)</f>
        <v>14220864</v>
      </c>
      <c r="T57" s="150">
        <f t="shared" si="19"/>
        <v>712</v>
      </c>
      <c r="U57" s="150">
        <f t="shared" si="19"/>
        <v>14051730</v>
      </c>
      <c r="V57" s="210">
        <f t="shared" ref="V57:W67" si="20">IFERROR((T57/R57*100)-100,"_")</f>
        <v>-5.0666666666666629</v>
      </c>
      <c r="W57" s="210">
        <f t="shared" si="20"/>
        <v>-1.1893370191853307</v>
      </c>
      <c r="X57" s="152"/>
    </row>
    <row r="58" spans="2:24" s="3" customFormat="1" ht="23.1" customHeight="1">
      <c r="B58" s="142">
        <v>9</v>
      </c>
      <c r="C58" s="143">
        <v>50000</v>
      </c>
      <c r="D58" s="145" t="s">
        <v>149</v>
      </c>
      <c r="E58" s="365" t="s">
        <v>150</v>
      </c>
      <c r="F58" s="226">
        <f>IFERROR(VLOOKUP(B58,'부두별-세부구분'!$B$68:$F$80,5,0),"-")</f>
        <v>70</v>
      </c>
      <c r="G58" s="226">
        <f>IFERROR(VLOOKUP(B58,'부두별-세부구분'!$B$68:$G$80,6,0),"-")</f>
        <v>94349</v>
      </c>
      <c r="H58" s="226">
        <f>IFERROR(VLOOKUP(B58,'부두별-세부구분'!$B$68:$H$80,7,0),"-")</f>
        <v>109</v>
      </c>
      <c r="I58" s="226">
        <f>IFERROR(VLOOKUP(B58,'부두별-세부구분'!$B$68:$I$80,8,0),"-")</f>
        <v>155094</v>
      </c>
      <c r="J58" s="155">
        <f t="shared" si="17"/>
        <v>55.714285714285722</v>
      </c>
      <c r="K58" s="155">
        <f t="shared" si="18"/>
        <v>64.383300299950179</v>
      </c>
      <c r="L58" s="153"/>
      <c r="N58" s="227">
        <v>1</v>
      </c>
      <c r="O58" s="228">
        <v>5000</v>
      </c>
      <c r="P58" s="229" t="s">
        <v>146</v>
      </c>
      <c r="Q58" s="395" t="s">
        <v>13</v>
      </c>
      <c r="R58" s="226">
        <f>IFERROR(VLOOKUP(N58,'부두별-세부구분'!$B$68:$F$80,5,0),"-")</f>
        <v>25</v>
      </c>
      <c r="S58" s="226">
        <f>IFERROR(VLOOKUP(N58,'부두별-세부구분'!$B$68:$G$80,6,0),"-")</f>
        <v>188299</v>
      </c>
      <c r="T58" s="226">
        <f>IFERROR(VLOOKUP(N58,'부두별-세부구분'!$B$68:$H$80,7,0),"-")</f>
        <v>32</v>
      </c>
      <c r="U58" s="226">
        <f>IFERROR(VLOOKUP(N58,'부두별-세부구분'!$B$68:$I$80,8,0),"-")</f>
        <v>235467</v>
      </c>
      <c r="V58" s="155">
        <f t="shared" si="20"/>
        <v>28</v>
      </c>
      <c r="W58" s="155">
        <f t="shared" si="20"/>
        <v>25.049522302295827</v>
      </c>
      <c r="X58" s="230"/>
    </row>
    <row r="59" spans="2:24" s="3" customFormat="1" ht="23.1" customHeight="1">
      <c r="B59" s="125">
        <v>10</v>
      </c>
      <c r="C59" s="100">
        <v>30000</v>
      </c>
      <c r="D59" s="99" t="s">
        <v>149</v>
      </c>
      <c r="E59" s="366"/>
      <c r="F59" s="112">
        <f>IFERROR(VLOOKUP(B59,'부두별-세부구분'!$B$68:$F$80,5,0),"-")</f>
        <v>53</v>
      </c>
      <c r="G59" s="112">
        <f>IFERROR(VLOOKUP(B59,'부두별-세부구분'!$B$68:$G$80,6,0),"-")</f>
        <v>385270</v>
      </c>
      <c r="H59" s="112">
        <f>IFERROR(VLOOKUP(B59,'부두별-세부구분'!$B$68:$H$80,7,0),"-")</f>
        <v>55</v>
      </c>
      <c r="I59" s="112">
        <f>IFERROR(VLOOKUP(B59,'부두별-세부구분'!$B$68:$I$80,8,0),"-")</f>
        <v>402361</v>
      </c>
      <c r="J59" s="104">
        <f t="shared" si="17"/>
        <v>3.7735849056603712</v>
      </c>
      <c r="K59" s="104">
        <f t="shared" si="18"/>
        <v>4.4361097412204344</v>
      </c>
      <c r="L59" s="126"/>
      <c r="N59" s="124">
        <v>2</v>
      </c>
      <c r="O59" s="109">
        <v>3000</v>
      </c>
      <c r="P59" s="98" t="s">
        <v>114</v>
      </c>
      <c r="Q59" s="361"/>
      <c r="R59" s="112">
        <f>IFERROR(VLOOKUP(N59,'부두별-세부구분'!$B$68:$F$80,5,0),"-")</f>
        <v>74</v>
      </c>
      <c r="S59" s="112">
        <f>IFERROR(VLOOKUP(N59,'부두별-세부구분'!$B$68:$G$80,6,0),"-")</f>
        <v>69974</v>
      </c>
      <c r="T59" s="112">
        <f>IFERROR(VLOOKUP(N59,'부두별-세부구분'!$B$68:$H$80,7,0),"-")</f>
        <v>69</v>
      </c>
      <c r="U59" s="112">
        <f>IFERROR(VLOOKUP(N59,'부두별-세부구분'!$B$68:$I$80,8,0),"-")</f>
        <v>64921</v>
      </c>
      <c r="V59" s="104">
        <f t="shared" si="20"/>
        <v>-6.7567567567567579</v>
      </c>
      <c r="W59" s="104">
        <f t="shared" si="20"/>
        <v>-7.2212536084831527</v>
      </c>
      <c r="X59" s="82"/>
    </row>
    <row r="60" spans="2:24" s="4" customFormat="1" ht="23.1" customHeight="1">
      <c r="B60" s="128">
        <v>11</v>
      </c>
      <c r="C60" s="135">
        <v>30000</v>
      </c>
      <c r="D60" s="130" t="s">
        <v>149</v>
      </c>
      <c r="E60" s="373"/>
      <c r="F60" s="172">
        <f>IFERROR(VLOOKUP(B60,'부두별-세부구분'!$B$68:$F$80,5,0),"-")</f>
        <v>225</v>
      </c>
      <c r="G60" s="172">
        <f>IFERROR(VLOOKUP(B60,'부두별-세부구분'!$B$68:$G$80,6,0),"-")</f>
        <v>773647</v>
      </c>
      <c r="H60" s="172">
        <f>IFERROR(VLOOKUP(B60,'부두별-세부구분'!$B$68:$H$80,7,0),"-")</f>
        <v>197</v>
      </c>
      <c r="I60" s="172">
        <f>IFERROR(VLOOKUP(B60,'부두별-세부구분'!$B$68:$I$80,8,0),"-")</f>
        <v>672374</v>
      </c>
      <c r="J60" s="162">
        <f t="shared" si="17"/>
        <v>-12.444444444444443</v>
      </c>
      <c r="K60" s="162">
        <f t="shared" si="18"/>
        <v>-13.090337065871125</v>
      </c>
      <c r="L60" s="133"/>
      <c r="N60" s="124">
        <v>3</v>
      </c>
      <c r="O60" s="109">
        <v>5000</v>
      </c>
      <c r="P60" s="98" t="s">
        <v>7</v>
      </c>
      <c r="Q60" s="361"/>
      <c r="R60" s="112">
        <f>IFERROR(VLOOKUP(N60,'부두별-세부구분'!$B$68:$F$80,5,0),"-")</f>
        <v>0</v>
      </c>
      <c r="S60" s="112">
        <f>IFERROR(VLOOKUP(N60,'부두별-세부구분'!$B$68:$G$80,6,0),"-")</f>
        <v>0</v>
      </c>
      <c r="T60" s="112">
        <f>IFERROR(VLOOKUP(N60,'부두별-세부구분'!$B$68:$H$80,7,0),"-")</f>
        <v>0</v>
      </c>
      <c r="U60" s="112">
        <f>IFERROR(VLOOKUP(N60,'부두별-세부구분'!$B$68:$I$80,8,0),"-")</f>
        <v>0</v>
      </c>
      <c r="V60" s="104" t="str">
        <f t="shared" si="20"/>
        <v>_</v>
      </c>
      <c r="W60" s="104" t="str">
        <f t="shared" si="20"/>
        <v>_</v>
      </c>
      <c r="X60" s="82"/>
    </row>
    <row r="61" spans="2:24" s="4" customFormat="1" ht="23.1" customHeight="1">
      <c r="B61" s="2"/>
      <c r="C61" s="2"/>
      <c r="D61" s="2"/>
      <c r="E61" s="2"/>
      <c r="F61" s="24"/>
      <c r="G61" s="24"/>
      <c r="H61" s="25"/>
      <c r="I61" s="25"/>
      <c r="J61" s="10"/>
      <c r="K61" s="10"/>
      <c r="L61" s="26"/>
      <c r="N61" s="124">
        <v>4</v>
      </c>
      <c r="O61" s="109">
        <v>200000</v>
      </c>
      <c r="P61" s="98" t="s">
        <v>33</v>
      </c>
      <c r="Q61" s="361"/>
      <c r="R61" s="112">
        <f>IFERROR(VLOOKUP(N61,'부두별-세부구분'!$B$68:$F$80,5,0),"-")</f>
        <v>117</v>
      </c>
      <c r="S61" s="112">
        <f>IFERROR(VLOOKUP(N61,'부두별-세부구분'!$B$68:$G$80,6,0),"-")</f>
        <v>4707855</v>
      </c>
      <c r="T61" s="112">
        <f>IFERROR(VLOOKUP(N61,'부두별-세부구분'!$B$68:$H$80,7,0),"-")</f>
        <v>123</v>
      </c>
      <c r="U61" s="112">
        <f>IFERROR(VLOOKUP(N61,'부두별-세부구분'!$B$68:$I$80,8,0),"-")</f>
        <v>4918799</v>
      </c>
      <c r="V61" s="104">
        <f t="shared" si="20"/>
        <v>5.1282051282051384</v>
      </c>
      <c r="W61" s="104">
        <f t="shared" si="20"/>
        <v>4.4806817542171586</v>
      </c>
      <c r="X61" s="82"/>
    </row>
    <row r="62" spans="2:24" s="4" customFormat="1" ht="23.1" customHeight="1">
      <c r="B62" s="2"/>
      <c r="C62" s="2"/>
      <c r="D62" s="2"/>
      <c r="E62" s="2"/>
      <c r="F62" s="24"/>
      <c r="G62" s="24"/>
      <c r="H62" s="25"/>
      <c r="I62" s="25"/>
      <c r="J62" s="10"/>
      <c r="K62" s="10"/>
      <c r="L62" s="26"/>
      <c r="N62" s="124">
        <v>5</v>
      </c>
      <c r="O62" s="109">
        <v>100000</v>
      </c>
      <c r="P62" s="98" t="s">
        <v>156</v>
      </c>
      <c r="Q62" s="361"/>
      <c r="R62" s="112">
        <f>IFERROR(VLOOKUP(N62,'부두별-세부구분'!$B$68:$F$80,5,0),"-")</f>
        <v>110</v>
      </c>
      <c r="S62" s="112">
        <f>IFERROR(VLOOKUP(N62,'부두별-세부구분'!$B$68:$G$80,6,0),"-")</f>
        <v>5126829</v>
      </c>
      <c r="T62" s="112">
        <f>IFERROR(VLOOKUP(N62,'부두별-세부구분'!$B$68:$H$80,7,0),"-")</f>
        <v>118</v>
      </c>
      <c r="U62" s="112">
        <f>IFERROR(VLOOKUP(N62,'부두별-세부구분'!$B$68:$I$80,8,0),"-")</f>
        <v>4925125</v>
      </c>
      <c r="V62" s="104">
        <f t="shared" si="20"/>
        <v>7.2727272727272805</v>
      </c>
      <c r="W62" s="104">
        <f t="shared" si="20"/>
        <v>-3.9342837453716442</v>
      </c>
      <c r="X62" s="82"/>
    </row>
    <row r="63" spans="2:24" s="4" customFormat="1" ht="23.1" customHeight="1">
      <c r="B63" s="2"/>
      <c r="C63" s="2"/>
      <c r="D63" s="2"/>
      <c r="E63" s="2"/>
      <c r="F63" s="24"/>
      <c r="G63" s="24"/>
      <c r="H63" s="25"/>
      <c r="I63" s="25"/>
      <c r="J63" s="10"/>
      <c r="K63" s="10"/>
      <c r="L63" s="26"/>
      <c r="N63" s="124">
        <v>6</v>
      </c>
      <c r="O63" s="109">
        <v>50000</v>
      </c>
      <c r="P63" s="98" t="s">
        <v>7</v>
      </c>
      <c r="Q63" s="361"/>
      <c r="R63" s="112">
        <f>IFERROR(VLOOKUP(N63,'부두별-세부구분'!$B$68:$F$80,5,0),"-")</f>
        <v>113</v>
      </c>
      <c r="S63" s="112">
        <f>IFERROR(VLOOKUP(N63,'부두별-세부구분'!$B$68:$G$80,6,0),"-")</f>
        <v>2020836</v>
      </c>
      <c r="T63" s="112">
        <f>IFERROR(VLOOKUP(N63,'부두별-세부구분'!$B$68:$H$80,7,0),"-")</f>
        <v>114</v>
      </c>
      <c r="U63" s="112">
        <f>IFERROR(VLOOKUP(N63,'부두별-세부구분'!$B$68:$I$80,8,0),"-")</f>
        <v>2211929</v>
      </c>
      <c r="V63" s="104">
        <f t="shared" si="20"/>
        <v>0.88495575221239164</v>
      </c>
      <c r="W63" s="104">
        <f t="shared" si="20"/>
        <v>9.4561359754082019</v>
      </c>
      <c r="X63" s="82"/>
    </row>
    <row r="64" spans="2:24" s="4" customFormat="1" ht="23.1" customHeight="1">
      <c r="B64" s="2"/>
      <c r="C64" s="2"/>
      <c r="D64" s="2"/>
      <c r="E64" s="2"/>
      <c r="F64" s="24"/>
      <c r="G64" s="24"/>
      <c r="H64" s="25"/>
      <c r="I64" s="25"/>
      <c r="J64" s="10"/>
      <c r="K64" s="10"/>
      <c r="L64" s="26"/>
      <c r="N64" s="124">
        <v>7</v>
      </c>
      <c r="O64" s="109">
        <v>30000</v>
      </c>
      <c r="P64" s="98" t="s">
        <v>7</v>
      </c>
      <c r="Q64" s="361"/>
      <c r="R64" s="112">
        <f>IFERROR(VLOOKUP(N64,'부두별-세부구분'!$B$68:$F$80,5,0),"-")</f>
        <v>16</v>
      </c>
      <c r="S64" s="112">
        <f>IFERROR(VLOOKUP(N64,'부두별-세부구분'!$B$68:$G$80,6,0),"-")</f>
        <v>211214</v>
      </c>
      <c r="T64" s="112">
        <f>IFERROR(VLOOKUP(N64,'부두별-세부구분'!$B$68:$H$80,7,0),"-")</f>
        <v>21</v>
      </c>
      <c r="U64" s="112">
        <f>IFERROR(VLOOKUP(N64,'부두별-세부구분'!$B$68:$I$80,8,0),"-")</f>
        <v>337578</v>
      </c>
      <c r="V64" s="104">
        <f t="shared" si="20"/>
        <v>31.25</v>
      </c>
      <c r="W64" s="104">
        <f t="shared" si="20"/>
        <v>59.827473557624018</v>
      </c>
      <c r="X64" s="82"/>
    </row>
    <row r="65" spans="2:24" s="4" customFormat="1" ht="23.1" customHeight="1">
      <c r="B65" s="2"/>
      <c r="C65" s="2"/>
      <c r="D65" s="2"/>
      <c r="E65" s="2"/>
      <c r="F65" s="24"/>
      <c r="G65" s="24"/>
      <c r="H65" s="25"/>
      <c r="I65" s="25"/>
      <c r="J65" s="10"/>
      <c r="K65" s="10"/>
      <c r="L65" s="26"/>
      <c r="N65" s="124">
        <v>8</v>
      </c>
      <c r="O65" s="109">
        <v>20000</v>
      </c>
      <c r="P65" s="98" t="s">
        <v>7</v>
      </c>
      <c r="Q65" s="361"/>
      <c r="R65" s="112">
        <f>IFERROR(VLOOKUP(N65,'부두별-세부구분'!$B$68:$F$80,5,0),"-")</f>
        <v>49</v>
      </c>
      <c r="S65" s="112">
        <f>IFERROR(VLOOKUP(N65,'부두별-세부구분'!$B$68:$G$80,6,0),"-")</f>
        <v>1086809</v>
      </c>
      <c r="T65" s="112">
        <f>IFERROR(VLOOKUP(N65,'부두별-세부구분'!$B$68:$H$80,7,0),"-")</f>
        <v>33</v>
      </c>
      <c r="U65" s="112">
        <f>IFERROR(VLOOKUP(N65,'부두별-세부구분'!$B$68:$I$80,8,0),"-")</f>
        <v>739593</v>
      </c>
      <c r="V65" s="104">
        <f t="shared" si="20"/>
        <v>-32.653061224489804</v>
      </c>
      <c r="W65" s="104">
        <f t="shared" si="20"/>
        <v>-31.94820801079122</v>
      </c>
      <c r="X65" s="82"/>
    </row>
    <row r="66" spans="2:24" s="4" customFormat="1" ht="23.1" customHeight="1">
      <c r="B66" s="2"/>
      <c r="C66" s="2"/>
      <c r="D66" s="2"/>
      <c r="E66" s="2"/>
      <c r="F66" s="24"/>
      <c r="G66" s="24"/>
      <c r="H66" s="25"/>
      <c r="I66" s="25"/>
      <c r="J66" s="10"/>
      <c r="K66" s="10"/>
      <c r="L66" s="26"/>
      <c r="N66" s="124">
        <v>12</v>
      </c>
      <c r="O66" s="109">
        <v>5000</v>
      </c>
      <c r="P66" s="98" t="s">
        <v>7</v>
      </c>
      <c r="Q66" s="361"/>
      <c r="R66" s="112">
        <f>IFERROR(VLOOKUP(N66,'부두별-세부구분'!$B$68:$F$80,5,0),"-")</f>
        <v>177</v>
      </c>
      <c r="S66" s="112">
        <f>IFERROR(VLOOKUP(N66,'부두별-세부구분'!$B$68:$G$80,6,0),"-")</f>
        <v>342234</v>
      </c>
      <c r="T66" s="112">
        <f>IFERROR(VLOOKUP(N66,'부두별-세부구분'!$B$68:$H$80,7,0),"-")</f>
        <v>153</v>
      </c>
      <c r="U66" s="112">
        <f>IFERROR(VLOOKUP(N66,'부두별-세부구분'!$B$68:$I$80,8,0),"-")</f>
        <v>271004</v>
      </c>
      <c r="V66" s="104">
        <f t="shared" si="20"/>
        <v>-13.559322033898297</v>
      </c>
      <c r="W66" s="104">
        <f t="shared" si="20"/>
        <v>-20.813244738979762</v>
      </c>
      <c r="X66" s="164"/>
    </row>
    <row r="67" spans="2:24" s="4" customFormat="1" ht="23.1" customHeight="1">
      <c r="B67" s="2"/>
      <c r="C67" s="2"/>
      <c r="D67" s="2"/>
      <c r="E67" s="2"/>
      <c r="F67" s="24"/>
      <c r="G67" s="24"/>
      <c r="H67" s="25"/>
      <c r="I67" s="25"/>
      <c r="J67" s="10"/>
      <c r="K67" s="10"/>
      <c r="L67" s="26"/>
      <c r="N67" s="165">
        <v>14</v>
      </c>
      <c r="O67" s="166">
        <v>5000</v>
      </c>
      <c r="P67" s="167" t="s">
        <v>7</v>
      </c>
      <c r="Q67" s="351"/>
      <c r="R67" s="172">
        <f>IFERROR(VLOOKUP(N67,'부두별-세부구분'!$B$68:$F$80,5,0),"-")</f>
        <v>69</v>
      </c>
      <c r="S67" s="172">
        <f>IFERROR(VLOOKUP(N67,'부두별-세부구분'!$B$68:$G$80,6,0),"-")</f>
        <v>466814</v>
      </c>
      <c r="T67" s="172">
        <f>IFERROR(VLOOKUP(N67,'부두별-세부구분'!$B$68:$H$80,7,0),"-")</f>
        <v>49</v>
      </c>
      <c r="U67" s="172">
        <f>IFERROR(VLOOKUP(N67,'부두별-세부구분'!$B$68:$I$80,8,0),"-")</f>
        <v>347314</v>
      </c>
      <c r="V67" s="162">
        <f t="shared" si="20"/>
        <v>-28.985507246376812</v>
      </c>
      <c r="W67" s="162">
        <f t="shared" si="20"/>
        <v>-25.599060867925985</v>
      </c>
      <c r="X67" s="168"/>
    </row>
    <row r="68" spans="2:24" s="3" customFormat="1">
      <c r="B68" s="2"/>
      <c r="C68" s="2"/>
      <c r="D68" s="2"/>
      <c r="E68" s="2"/>
      <c r="F68" s="24"/>
      <c r="G68" s="24"/>
      <c r="H68" s="25"/>
      <c r="I68" s="25"/>
      <c r="J68" s="10"/>
      <c r="K68" s="10"/>
      <c r="L68" s="26"/>
      <c r="N68" s="2"/>
      <c r="O68" s="2"/>
      <c r="P68" s="2"/>
      <c r="Q68" s="2"/>
      <c r="R68" s="24"/>
      <c r="S68" s="24"/>
      <c r="T68" s="24"/>
      <c r="U68" s="24"/>
      <c r="V68" s="10"/>
      <c r="W68" s="10"/>
      <c r="X68" s="26"/>
    </row>
    <row r="69" spans="2:24" s="3" customFormat="1" ht="30" customHeight="1">
      <c r="B69" s="363" t="s">
        <v>316</v>
      </c>
      <c r="C69" s="363"/>
      <c r="E69" s="49"/>
      <c r="F69" s="9"/>
      <c r="G69" s="9"/>
      <c r="H69" s="18"/>
      <c r="I69" s="45"/>
      <c r="J69" s="9"/>
      <c r="K69" s="352" t="s">
        <v>300</v>
      </c>
      <c r="L69" s="352"/>
      <c r="N69" s="363" t="s">
        <v>316</v>
      </c>
      <c r="O69" s="363"/>
      <c r="Q69" s="49"/>
      <c r="R69" s="9"/>
      <c r="S69" s="9"/>
      <c r="T69" s="18"/>
      <c r="U69" s="45"/>
      <c r="V69" s="9"/>
      <c r="W69" s="352" t="s">
        <v>300</v>
      </c>
      <c r="X69" s="352"/>
    </row>
    <row r="70" spans="2:24" s="4" customFormat="1" ht="20.100000000000001" customHeight="1">
      <c r="B70" s="346" t="s">
        <v>0</v>
      </c>
      <c r="C70" s="369" t="s">
        <v>1</v>
      </c>
      <c r="D70" s="347" t="s">
        <v>2</v>
      </c>
      <c r="E70" s="347" t="s">
        <v>3</v>
      </c>
      <c r="F70" s="344" t="s">
        <v>66</v>
      </c>
      <c r="G70" s="344"/>
      <c r="H70" s="344"/>
      <c r="I70" s="344"/>
      <c r="J70" s="344" t="s">
        <v>67</v>
      </c>
      <c r="K70" s="344"/>
      <c r="L70" s="339" t="s">
        <v>14</v>
      </c>
      <c r="N70" s="378" t="s">
        <v>0</v>
      </c>
      <c r="O70" s="381" t="s">
        <v>1</v>
      </c>
      <c r="P70" s="384" t="s">
        <v>2</v>
      </c>
      <c r="Q70" s="384" t="s">
        <v>3</v>
      </c>
      <c r="R70" s="387" t="s">
        <v>66</v>
      </c>
      <c r="S70" s="387"/>
      <c r="T70" s="387"/>
      <c r="U70" s="387"/>
      <c r="V70" s="387" t="s">
        <v>67</v>
      </c>
      <c r="W70" s="387"/>
      <c r="X70" s="389" t="s">
        <v>14</v>
      </c>
    </row>
    <row r="71" spans="2:24" s="4" customFormat="1" ht="20.100000000000001" customHeight="1">
      <c r="B71" s="348"/>
      <c r="C71" s="370"/>
      <c r="D71" s="349"/>
      <c r="E71" s="349"/>
      <c r="F71" s="354" t="str">
        <f>'총 계'!F7:G7</f>
        <v xml:space="preserve">'25.5월 누계 </v>
      </c>
      <c r="G71" s="354"/>
      <c r="H71" s="354" t="str">
        <f>'총 계'!H7:I7</f>
        <v>'26.5월 누계</v>
      </c>
      <c r="I71" s="354"/>
      <c r="J71" s="345"/>
      <c r="K71" s="345"/>
      <c r="L71" s="340"/>
      <c r="N71" s="379"/>
      <c r="O71" s="382"/>
      <c r="P71" s="385"/>
      <c r="Q71" s="385"/>
      <c r="R71" s="392" t="str">
        <f>F9</f>
        <v xml:space="preserve">'25.5월 누계 </v>
      </c>
      <c r="S71" s="392"/>
      <c r="T71" s="392" t="str">
        <f>H9</f>
        <v>'26.5월 누계</v>
      </c>
      <c r="U71" s="392"/>
      <c r="V71" s="388"/>
      <c r="W71" s="388"/>
      <c r="X71" s="390"/>
    </row>
    <row r="72" spans="2:24" s="4" customFormat="1" ht="30" customHeight="1" thickBot="1">
      <c r="B72" s="348"/>
      <c r="C72" s="370"/>
      <c r="D72" s="349"/>
      <c r="E72" s="349"/>
      <c r="F72" s="74" t="s">
        <v>71</v>
      </c>
      <c r="G72" s="74" t="s">
        <v>72</v>
      </c>
      <c r="H72" s="74" t="s">
        <v>325</v>
      </c>
      <c r="I72" s="74" t="s">
        <v>74</v>
      </c>
      <c r="J72" s="74" t="s">
        <v>75</v>
      </c>
      <c r="K72" s="74" t="s">
        <v>76</v>
      </c>
      <c r="L72" s="340"/>
      <c r="N72" s="380"/>
      <c r="O72" s="383"/>
      <c r="P72" s="386"/>
      <c r="Q72" s="386"/>
      <c r="R72" s="211" t="s">
        <v>71</v>
      </c>
      <c r="S72" s="211" t="s">
        <v>72</v>
      </c>
      <c r="T72" s="211" t="s">
        <v>325</v>
      </c>
      <c r="U72" s="211" t="s">
        <v>74</v>
      </c>
      <c r="V72" s="211" t="s">
        <v>75</v>
      </c>
      <c r="W72" s="211" t="s">
        <v>76</v>
      </c>
      <c r="X72" s="391"/>
    </row>
    <row r="73" spans="2:24" s="4" customFormat="1" ht="23.1" customHeight="1" thickBot="1">
      <c r="B73" s="165" t="s">
        <v>115</v>
      </c>
      <c r="C73" s="167"/>
      <c r="D73" s="167" t="s">
        <v>116</v>
      </c>
      <c r="E73" s="167" t="s">
        <v>117</v>
      </c>
      <c r="F73" s="175">
        <f>'부두별-세부구분'!F87</f>
        <v>119</v>
      </c>
      <c r="G73" s="175">
        <f>'부두별-세부구분'!G87</f>
        <v>6497023</v>
      </c>
      <c r="H73" s="175">
        <f>'부두별-세부구분'!H87</f>
        <v>40</v>
      </c>
      <c r="I73" s="175">
        <f>'부두별-세부구분'!I87</f>
        <v>2312139</v>
      </c>
      <c r="J73" s="176">
        <f t="shared" ref="J73" si="21">IFERROR((H73/F73*100)-100,"_")</f>
        <v>-66.386554621848745</v>
      </c>
      <c r="K73" s="176">
        <f t="shared" ref="K73" si="22">IFERROR((I73/G73*100)-100,"-")</f>
        <v>-64.412331617111406</v>
      </c>
      <c r="L73" s="86"/>
      <c r="N73" s="148" t="s">
        <v>338</v>
      </c>
      <c r="O73" s="149"/>
      <c r="P73" s="149"/>
      <c r="Q73" s="149"/>
      <c r="R73" s="150">
        <f>SUM(R74:R80)</f>
        <v>241</v>
      </c>
      <c r="S73" s="150">
        <f t="shared" ref="S73:U73" si="23">SUM(S74:S80)</f>
        <v>4936797</v>
      </c>
      <c r="T73" s="150">
        <f t="shared" si="23"/>
        <v>365</v>
      </c>
      <c r="U73" s="150">
        <f t="shared" si="23"/>
        <v>9399589</v>
      </c>
      <c r="V73" s="210">
        <f t="shared" ref="V73:W80" si="24">IFERROR((T73/R73*100)-100,"_")</f>
        <v>51.452282157676336</v>
      </c>
      <c r="W73" s="210">
        <f t="shared" si="24"/>
        <v>90.398531679548512</v>
      </c>
      <c r="X73" s="152"/>
    </row>
    <row r="74" spans="2:24" s="5" customFormat="1" ht="27.75" customHeight="1">
      <c r="B74" s="2"/>
      <c r="C74" s="2"/>
      <c r="D74" s="2"/>
      <c r="E74" s="2"/>
      <c r="F74" s="12"/>
      <c r="G74" s="11"/>
      <c r="H74" s="19"/>
      <c r="I74" s="21"/>
      <c r="J74" s="10"/>
      <c r="K74" s="10"/>
      <c r="L74" s="6"/>
      <c r="N74" s="231" t="s">
        <v>121</v>
      </c>
      <c r="O74" s="232"/>
      <c r="P74" s="145" t="s">
        <v>324</v>
      </c>
      <c r="Q74" s="394" t="s">
        <v>123</v>
      </c>
      <c r="R74" s="233">
        <f>IFERROR(VLOOKUP(N74,'부두별-세부구분'!$B$87:$F$94,5,0),"-")</f>
        <v>0</v>
      </c>
      <c r="S74" s="233">
        <f>IFERROR(VLOOKUP(N74,'부두별-세부구분'!$B$87:$G$94,6,0),"-")</f>
        <v>0</v>
      </c>
      <c r="T74" s="233">
        <f>IFERROR(VLOOKUP(N74,'부두별-세부구분'!$B$87:$H$94,7,0),"-")</f>
        <v>2</v>
      </c>
      <c r="U74" s="233">
        <f>IFERROR(VLOOKUP(N74,'부두별-세부구분'!$B$87:$I$94,8,0),"-")</f>
        <v>3131</v>
      </c>
      <c r="V74" s="155" t="str">
        <f t="shared" ref="V74:V80" si="25">IFERROR((T74/R74*100)-100,"_")</f>
        <v>_</v>
      </c>
      <c r="W74" s="155" t="str">
        <f t="shared" si="24"/>
        <v>_</v>
      </c>
      <c r="X74" s="153"/>
    </row>
    <row r="75" spans="2:24" s="5" customFormat="1" ht="23.1" customHeight="1">
      <c r="B75" s="2"/>
      <c r="C75" s="2"/>
      <c r="D75" s="2"/>
      <c r="E75" s="2"/>
      <c r="F75" s="12"/>
      <c r="G75" s="11"/>
      <c r="H75" s="19"/>
      <c r="I75" s="21"/>
      <c r="J75" s="10"/>
      <c r="K75" s="10"/>
      <c r="L75" s="6"/>
      <c r="N75" s="137" t="s">
        <v>124</v>
      </c>
      <c r="O75" s="72"/>
      <c r="P75" s="72" t="s">
        <v>125</v>
      </c>
      <c r="Q75" s="367"/>
      <c r="R75" s="113">
        <f>IFERROR(VLOOKUP(N75,'부두별-세부구분'!$B$87:$F$94,5,0),"-")</f>
        <v>10</v>
      </c>
      <c r="S75" s="113">
        <f>IFERROR(VLOOKUP(N75,'부두별-세부구분'!$B$87:$G$94,6,0),"-")</f>
        <v>22310</v>
      </c>
      <c r="T75" s="113">
        <f>IFERROR(VLOOKUP(N75,'부두별-세부구분'!$B$87:$H$94,7,0),"-")</f>
        <v>8</v>
      </c>
      <c r="U75" s="113">
        <f>IFERROR(VLOOKUP(N75,'부두별-세부구분'!$B$87:$I$94,8,0),"-")</f>
        <v>12415</v>
      </c>
      <c r="V75" s="104">
        <f t="shared" si="25"/>
        <v>-20</v>
      </c>
      <c r="W75" s="104">
        <f t="shared" si="24"/>
        <v>-44.352308381891525</v>
      </c>
      <c r="X75" s="134"/>
    </row>
    <row r="76" spans="2:24" s="5" customFormat="1" ht="23.1" customHeight="1">
      <c r="B76" s="2"/>
      <c r="C76" s="2"/>
      <c r="D76" s="2"/>
      <c r="E76" s="2"/>
      <c r="F76" s="12"/>
      <c r="G76" s="11"/>
      <c r="H76" s="19"/>
      <c r="I76" s="21"/>
      <c r="J76" s="10"/>
      <c r="K76" s="10"/>
      <c r="L76" s="6"/>
      <c r="N76" s="137" t="s">
        <v>126</v>
      </c>
      <c r="O76" s="72"/>
      <c r="P76" s="72" t="s">
        <v>120</v>
      </c>
      <c r="Q76" s="72" t="s">
        <v>127</v>
      </c>
      <c r="R76" s="113">
        <f>IFERROR(VLOOKUP(N76,'부두별-세부구분'!$B$87:$F$94,5,0),"-")</f>
        <v>0</v>
      </c>
      <c r="S76" s="113">
        <f>IFERROR(VLOOKUP(N76,'부두별-세부구분'!$B$87:$G$94,6,0),"-")</f>
        <v>0</v>
      </c>
      <c r="T76" s="113">
        <f>IFERROR(VLOOKUP(N76,'부두별-세부구분'!$B$87:$H$94,7,0),"-")</f>
        <v>0</v>
      </c>
      <c r="U76" s="113">
        <f>IFERROR(VLOOKUP(N76,'부두별-세부구분'!$B$87:$I$94,8,0),"-")</f>
        <v>0</v>
      </c>
      <c r="V76" s="104" t="str">
        <f t="shared" si="25"/>
        <v>_</v>
      </c>
      <c r="W76" s="104" t="str">
        <f t="shared" si="24"/>
        <v>_</v>
      </c>
      <c r="X76" s="134"/>
    </row>
    <row r="77" spans="2:24" s="5" customFormat="1" ht="23.1" customHeight="1">
      <c r="B77" s="2"/>
      <c r="C77" s="2"/>
      <c r="D77" s="2"/>
      <c r="E77" s="2"/>
      <c r="F77" s="11"/>
      <c r="G77" s="11"/>
      <c r="H77" s="21"/>
      <c r="I77" s="21"/>
      <c r="J77" s="10"/>
      <c r="K77" s="10"/>
      <c r="L77" s="6"/>
      <c r="N77" s="137" t="s">
        <v>128</v>
      </c>
      <c r="O77" s="72"/>
      <c r="P77" s="72" t="s">
        <v>129</v>
      </c>
      <c r="Q77" s="72" t="s">
        <v>130</v>
      </c>
      <c r="R77" s="113">
        <f>IFERROR(VLOOKUP(N77,'부두별-세부구분'!$B$87:$F$94,5,0),"-")</f>
        <v>103</v>
      </c>
      <c r="S77" s="113">
        <f>IFERROR(VLOOKUP(N77,'부두별-세부구분'!$B$87:$G$94,6,0),"-")</f>
        <v>342590</v>
      </c>
      <c r="T77" s="113">
        <f>IFERROR(VLOOKUP(N77,'부두별-세부구분'!$B$87:$H$94,7,0),"-")</f>
        <v>163</v>
      </c>
      <c r="U77" s="113">
        <f>IFERROR(VLOOKUP(N77,'부두별-세부구분'!$B$87:$I$94,8,0),"-")</f>
        <v>383229</v>
      </c>
      <c r="V77" s="104">
        <f t="shared" si="25"/>
        <v>58.252427184466029</v>
      </c>
      <c r="W77" s="104">
        <f t="shared" si="24"/>
        <v>11.862284363233016</v>
      </c>
      <c r="X77" s="134"/>
    </row>
    <row r="78" spans="2:24" s="5" customFormat="1" ht="23.1" customHeight="1">
      <c r="B78" s="48"/>
      <c r="C78" s="48"/>
      <c r="D78" s="48"/>
      <c r="E78" s="60"/>
      <c r="F78" s="61"/>
      <c r="G78" s="61"/>
      <c r="H78" s="62"/>
      <c r="I78" s="62"/>
      <c r="J78" s="61"/>
      <c r="K78" s="61"/>
      <c r="L78" s="63"/>
      <c r="N78" s="137" t="s">
        <v>131</v>
      </c>
      <c r="O78" s="72"/>
      <c r="P78" s="72" t="s">
        <v>125</v>
      </c>
      <c r="Q78" s="72" t="s">
        <v>132</v>
      </c>
      <c r="R78" s="113">
        <f>IFERROR(VLOOKUP(N78,'부두별-세부구분'!$B$87:$F$94,5,0),"-")</f>
        <v>64</v>
      </c>
      <c r="S78" s="113">
        <f>IFERROR(VLOOKUP(N78,'부두별-세부구분'!$B$87:$G$94,6,0),"-")</f>
        <v>973880</v>
      </c>
      <c r="T78" s="113">
        <f>IFERROR(VLOOKUP(N78,'부두별-세부구분'!$B$87:$H$94,7,0),"-")</f>
        <v>58</v>
      </c>
      <c r="U78" s="113">
        <f>IFERROR(VLOOKUP(N78,'부두별-세부구분'!$B$87:$I$94,8,0),"-")</f>
        <v>1021215</v>
      </c>
      <c r="V78" s="104">
        <f t="shared" si="25"/>
        <v>-9.375</v>
      </c>
      <c r="W78" s="104">
        <f t="shared" si="24"/>
        <v>4.8604550868690097</v>
      </c>
      <c r="X78" s="134"/>
    </row>
    <row r="79" spans="2:24" s="5" customFormat="1" ht="23.1" customHeight="1">
      <c r="B79" s="48"/>
      <c r="C79" s="48"/>
      <c r="D79" s="48"/>
      <c r="E79" s="63"/>
      <c r="F79" s="61"/>
      <c r="G79" s="61"/>
      <c r="H79" s="62"/>
      <c r="I79" s="62"/>
      <c r="J79" s="61"/>
      <c r="K79" s="61"/>
      <c r="L79" s="63"/>
      <c r="N79" s="137" t="s">
        <v>118</v>
      </c>
      <c r="O79" s="72"/>
      <c r="P79" s="72" t="s">
        <v>116</v>
      </c>
      <c r="Q79" s="367" t="s">
        <v>117</v>
      </c>
      <c r="R79" s="113">
        <f>IFERROR(VLOOKUP(N79,'부두별-세부구분'!$B$87:$F$94,5,0),"-")</f>
        <v>51</v>
      </c>
      <c r="S79" s="113">
        <f>IFERROR(VLOOKUP(N79,'부두별-세부구분'!$B$87:$G$94,6,0),"-")</f>
        <v>3573883</v>
      </c>
      <c r="T79" s="113">
        <f>IFERROR(VLOOKUP(N79,'부두별-세부구분'!$B$87:$H$94,7,0),"-")</f>
        <v>120</v>
      </c>
      <c r="U79" s="113">
        <f>IFERROR(VLOOKUP(N79,'부두별-세부구분'!$B$87:$I$94,8,0),"-")</f>
        <v>7957363</v>
      </c>
      <c r="V79" s="104">
        <f t="shared" si="25"/>
        <v>135.29411764705884</v>
      </c>
      <c r="W79" s="104">
        <f t="shared" si="24"/>
        <v>122.65314785067113</v>
      </c>
      <c r="X79" s="134"/>
    </row>
    <row r="80" spans="2:24" s="3" customFormat="1" ht="23.1" customHeight="1">
      <c r="B80" s="174"/>
      <c r="C80" s="174"/>
      <c r="D80" s="174"/>
      <c r="E80" s="174"/>
      <c r="F80" s="174"/>
      <c r="G80" s="174"/>
      <c r="H80" s="174"/>
      <c r="I80" s="174"/>
      <c r="J80" s="174"/>
      <c r="K80" s="174"/>
      <c r="L80" s="174"/>
      <c r="N80" s="138" t="s">
        <v>119</v>
      </c>
      <c r="O80" s="139"/>
      <c r="P80" s="139"/>
      <c r="Q80" s="376"/>
      <c r="R80" s="177">
        <f>IFERROR(VLOOKUP(N80,'부두별-세부구분'!$B$87:$F$94,5,0),"-")</f>
        <v>13</v>
      </c>
      <c r="S80" s="177">
        <f>IFERROR(VLOOKUP(N80,'부두별-세부구분'!$B$87:$G$94,6,0),"-")</f>
        <v>24134</v>
      </c>
      <c r="T80" s="177">
        <f>IFERROR(VLOOKUP(N80,'부두별-세부구분'!$B$87:$H$94,7,0),"-")</f>
        <v>14</v>
      </c>
      <c r="U80" s="177">
        <f>IFERROR(VLOOKUP(N80,'부두별-세부구분'!$B$87:$I$94,8,0),"-")</f>
        <v>22236</v>
      </c>
      <c r="V80" s="162">
        <f t="shared" si="25"/>
        <v>7.6923076923076934</v>
      </c>
      <c r="W80" s="162">
        <f t="shared" si="24"/>
        <v>-7.8644236347062133</v>
      </c>
      <c r="X80" s="81"/>
    </row>
    <row r="81" spans="2:24" s="4" customFormat="1" ht="15" customHeight="1"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N81" s="2"/>
      <c r="O81" s="2"/>
      <c r="P81" s="2"/>
      <c r="Q81" s="2"/>
      <c r="R81" s="24"/>
      <c r="S81" s="24"/>
      <c r="T81" s="24"/>
      <c r="U81" s="24"/>
      <c r="V81" s="10"/>
      <c r="W81" s="10"/>
      <c r="X81" s="26"/>
    </row>
    <row r="82" spans="2:24" s="4" customFormat="1" ht="30" customHeight="1">
      <c r="B82"/>
      <c r="C82"/>
      <c r="D82"/>
      <c r="E82"/>
      <c r="F82"/>
      <c r="G82"/>
      <c r="H82"/>
      <c r="I82"/>
      <c r="J82"/>
      <c r="K82"/>
      <c r="L82"/>
      <c r="N82" s="363" t="s">
        <v>317</v>
      </c>
      <c r="O82" s="363"/>
      <c r="P82" s="3"/>
      <c r="Q82" s="49"/>
      <c r="R82" s="9"/>
      <c r="S82" s="9"/>
      <c r="T82" s="18"/>
      <c r="U82" s="45"/>
      <c r="V82" s="9"/>
      <c r="W82" s="352" t="s">
        <v>300</v>
      </c>
      <c r="X82" s="352"/>
    </row>
    <row r="83" spans="2:24" s="4" customFormat="1" ht="20.100000000000001" customHeight="1">
      <c r="B83"/>
      <c r="C83"/>
      <c r="D83"/>
      <c r="E83"/>
      <c r="F83"/>
      <c r="G83"/>
      <c r="H83"/>
      <c r="I83"/>
      <c r="J83"/>
      <c r="K83"/>
      <c r="L83"/>
      <c r="N83" s="378" t="s">
        <v>0</v>
      </c>
      <c r="O83" s="384" t="s">
        <v>1</v>
      </c>
      <c r="P83" s="384" t="s">
        <v>2</v>
      </c>
      <c r="Q83" s="384" t="s">
        <v>3</v>
      </c>
      <c r="R83" s="387" t="s">
        <v>66</v>
      </c>
      <c r="S83" s="387"/>
      <c r="T83" s="387"/>
      <c r="U83" s="387"/>
      <c r="V83" s="387" t="s">
        <v>67</v>
      </c>
      <c r="W83" s="387"/>
      <c r="X83" s="389" t="s">
        <v>14</v>
      </c>
    </row>
    <row r="84" spans="2:24" s="4" customFormat="1" ht="20.100000000000001" customHeight="1">
      <c r="B84"/>
      <c r="C84"/>
      <c r="D84"/>
      <c r="E84"/>
      <c r="F84"/>
      <c r="G84"/>
      <c r="H84"/>
      <c r="I84"/>
      <c r="J84"/>
      <c r="K84"/>
      <c r="L84"/>
      <c r="N84" s="379"/>
      <c r="O84" s="385"/>
      <c r="P84" s="385"/>
      <c r="Q84" s="385"/>
      <c r="R84" s="392" t="str">
        <f>F9</f>
        <v xml:space="preserve">'25.5월 누계 </v>
      </c>
      <c r="S84" s="392"/>
      <c r="T84" s="392" t="str">
        <f>H9</f>
        <v>'26.5월 누계</v>
      </c>
      <c r="U84" s="392"/>
      <c r="V84" s="388"/>
      <c r="W84" s="388"/>
      <c r="X84" s="390"/>
    </row>
    <row r="85" spans="2:24" s="4" customFormat="1" ht="30" customHeight="1">
      <c r="B85"/>
      <c r="C85"/>
      <c r="D85"/>
      <c r="E85"/>
      <c r="F85"/>
      <c r="G85"/>
      <c r="H85"/>
      <c r="I85"/>
      <c r="J85"/>
      <c r="K85"/>
      <c r="L85"/>
      <c r="N85" s="379"/>
      <c r="O85" s="385"/>
      <c r="P85" s="385"/>
      <c r="Q85" s="385"/>
      <c r="R85" s="234" t="s">
        <v>71</v>
      </c>
      <c r="S85" s="234" t="s">
        <v>72</v>
      </c>
      <c r="T85" s="234" t="s">
        <v>325</v>
      </c>
      <c r="U85" s="234" t="s">
        <v>74</v>
      </c>
      <c r="V85" s="234" t="s">
        <v>75</v>
      </c>
      <c r="W85" s="234" t="s">
        <v>76</v>
      </c>
      <c r="X85" s="390"/>
    </row>
    <row r="86" spans="2:24" s="5" customFormat="1" ht="23.1" customHeight="1">
      <c r="B86"/>
      <c r="C86"/>
      <c r="D86"/>
      <c r="E86"/>
      <c r="F86"/>
      <c r="G86"/>
      <c r="H86"/>
      <c r="I86"/>
      <c r="J86"/>
      <c r="K86"/>
      <c r="L86"/>
      <c r="N86" s="124" t="s">
        <v>93</v>
      </c>
      <c r="O86" s="98"/>
      <c r="P86" s="98"/>
      <c r="Q86" s="98"/>
      <c r="R86" s="76">
        <f>SUM(R87:R93)</f>
        <v>63</v>
      </c>
      <c r="S86" s="76">
        <f t="shared" ref="S86:U86" si="26">SUM(S87:S93)</f>
        <v>178134</v>
      </c>
      <c r="T86" s="76">
        <f t="shared" si="26"/>
        <v>51</v>
      </c>
      <c r="U86" s="76">
        <f t="shared" si="26"/>
        <v>139143</v>
      </c>
      <c r="V86" s="104">
        <f t="shared" ref="V86:W93" si="27">IFERROR((T86/R86*100)-100,"_")</f>
        <v>-19.047619047619051</v>
      </c>
      <c r="W86" s="104">
        <f t="shared" si="27"/>
        <v>-21.888578261308894</v>
      </c>
      <c r="X86" s="82"/>
    </row>
    <row r="87" spans="2:24" s="5" customFormat="1" ht="23.1" customHeight="1">
      <c r="B87"/>
      <c r="C87"/>
      <c r="D87"/>
      <c r="E87"/>
      <c r="F87"/>
      <c r="G87"/>
      <c r="H87"/>
      <c r="I87"/>
      <c r="J87"/>
      <c r="K87"/>
      <c r="L87"/>
      <c r="N87" s="137" t="s">
        <v>133</v>
      </c>
      <c r="O87" s="72"/>
      <c r="P87" s="72" t="s">
        <v>16</v>
      </c>
      <c r="Q87" s="367" t="s">
        <v>135</v>
      </c>
      <c r="R87" s="114">
        <f>'부두별-세부구분'!F101</f>
        <v>0</v>
      </c>
      <c r="S87" s="114">
        <f>'부두별-세부구분'!G101</f>
        <v>0</v>
      </c>
      <c r="T87" s="114">
        <f>'부두별-세부구분'!H101</f>
        <v>1</v>
      </c>
      <c r="U87" s="114">
        <f>'부두별-세부구분'!I101</f>
        <v>0</v>
      </c>
      <c r="V87" s="104" t="str">
        <f t="shared" si="27"/>
        <v>_</v>
      </c>
      <c r="W87" s="104" t="str">
        <f t="shared" si="27"/>
        <v>_</v>
      </c>
      <c r="X87" s="134"/>
    </row>
    <row r="88" spans="2:24" s="5" customFormat="1" ht="23.1" customHeight="1">
      <c r="B88"/>
      <c r="C88"/>
      <c r="D88"/>
      <c r="E88"/>
      <c r="F88"/>
      <c r="G88"/>
      <c r="H88"/>
      <c r="I88"/>
      <c r="J88"/>
      <c r="K88"/>
      <c r="L88"/>
      <c r="N88" s="137" t="s">
        <v>59</v>
      </c>
      <c r="O88" s="72"/>
      <c r="P88" s="72" t="s">
        <v>16</v>
      </c>
      <c r="Q88" s="367"/>
      <c r="R88" s="114">
        <f>'부두별-세부구분'!F102</f>
        <v>0</v>
      </c>
      <c r="S88" s="114">
        <f>'부두별-세부구분'!G102</f>
        <v>0</v>
      </c>
      <c r="T88" s="114">
        <f>'부두별-세부구분'!H102</f>
        <v>0</v>
      </c>
      <c r="U88" s="114">
        <f>'부두별-세부구분'!I102</f>
        <v>0</v>
      </c>
      <c r="V88" s="104" t="str">
        <f t="shared" si="27"/>
        <v>_</v>
      </c>
      <c r="W88" s="104" t="str">
        <f t="shared" si="27"/>
        <v>_</v>
      </c>
      <c r="X88" s="134"/>
    </row>
    <row r="89" spans="2:24" s="5" customFormat="1" ht="23.1" customHeight="1">
      <c r="B89"/>
      <c r="C89"/>
      <c r="D89"/>
      <c r="E89"/>
      <c r="F89"/>
      <c r="G89"/>
      <c r="H89"/>
      <c r="I89"/>
      <c r="J89"/>
      <c r="K89"/>
      <c r="L89"/>
      <c r="N89" s="137" t="s">
        <v>60</v>
      </c>
      <c r="O89" s="72"/>
      <c r="P89" s="72" t="s">
        <v>16</v>
      </c>
      <c r="Q89" s="367"/>
      <c r="R89" s="114">
        <f>'부두별-세부구분'!F103</f>
        <v>0</v>
      </c>
      <c r="S89" s="114">
        <f>'부두별-세부구분'!G103</f>
        <v>0</v>
      </c>
      <c r="T89" s="114">
        <f>'부두별-세부구분'!H103</f>
        <v>0</v>
      </c>
      <c r="U89" s="114">
        <f>'부두별-세부구분'!I103</f>
        <v>0</v>
      </c>
      <c r="V89" s="104" t="str">
        <f t="shared" si="27"/>
        <v>_</v>
      </c>
      <c r="W89" s="104" t="str">
        <f t="shared" si="27"/>
        <v>_</v>
      </c>
      <c r="X89" s="134"/>
    </row>
    <row r="90" spans="2:24" s="3" customFormat="1" ht="23.1" customHeight="1">
      <c r="B90"/>
      <c r="C90"/>
      <c r="D90"/>
      <c r="E90"/>
      <c r="F90"/>
      <c r="G90"/>
      <c r="H90"/>
      <c r="I90"/>
      <c r="J90"/>
      <c r="K90"/>
      <c r="L90"/>
      <c r="N90" s="137" t="s">
        <v>61</v>
      </c>
      <c r="O90" s="72"/>
      <c r="P90" s="72" t="s">
        <v>16</v>
      </c>
      <c r="Q90" s="367"/>
      <c r="R90" s="114">
        <f>'부두별-세부구분'!F104</f>
        <v>63</v>
      </c>
      <c r="S90" s="114">
        <f>'부두별-세부구분'!G104</f>
        <v>178134</v>
      </c>
      <c r="T90" s="114">
        <f>'부두별-세부구분'!H104</f>
        <v>50</v>
      </c>
      <c r="U90" s="114">
        <f>'부두별-세부구분'!I104</f>
        <v>139143</v>
      </c>
      <c r="V90" s="104">
        <f t="shared" si="27"/>
        <v>-20.634920634920633</v>
      </c>
      <c r="W90" s="104">
        <f t="shared" si="27"/>
        <v>-21.888578261308894</v>
      </c>
      <c r="X90" s="134"/>
    </row>
    <row r="91" spans="2:24" s="4" customFormat="1" ht="23.1" customHeight="1">
      <c r="B91"/>
      <c r="C91"/>
      <c r="D91"/>
      <c r="E91"/>
      <c r="F91"/>
      <c r="G91"/>
      <c r="H91"/>
      <c r="I91"/>
      <c r="J91"/>
      <c r="K91"/>
      <c r="L91"/>
      <c r="N91" s="137" t="s">
        <v>62</v>
      </c>
      <c r="O91" s="72"/>
      <c r="P91" s="72" t="s">
        <v>16</v>
      </c>
      <c r="Q91" s="367"/>
      <c r="R91" s="114">
        <f>'부두별-세부구분'!F105</f>
        <v>0</v>
      </c>
      <c r="S91" s="114">
        <f>'부두별-세부구분'!G105</f>
        <v>0</v>
      </c>
      <c r="T91" s="114">
        <f>'부두별-세부구분'!H105</f>
        <v>0</v>
      </c>
      <c r="U91" s="114">
        <f>'부두별-세부구분'!I105</f>
        <v>0</v>
      </c>
      <c r="V91" s="104" t="str">
        <f t="shared" si="27"/>
        <v>_</v>
      </c>
      <c r="W91" s="104" t="str">
        <f t="shared" si="27"/>
        <v>_</v>
      </c>
      <c r="X91" s="134"/>
    </row>
    <row r="92" spans="2:24" s="4" customFormat="1" ht="23.1" customHeight="1">
      <c r="B92"/>
      <c r="C92"/>
      <c r="D92"/>
      <c r="E92"/>
      <c r="F92"/>
      <c r="G92"/>
      <c r="H92"/>
      <c r="I92"/>
      <c r="J92"/>
      <c r="K92"/>
      <c r="L92"/>
      <c r="N92" s="137" t="s">
        <v>63</v>
      </c>
      <c r="O92" s="72"/>
      <c r="P92" s="72" t="s">
        <v>16</v>
      </c>
      <c r="Q92" s="367"/>
      <c r="R92" s="114">
        <f>'부두별-세부구분'!F106</f>
        <v>0</v>
      </c>
      <c r="S92" s="114">
        <f>'부두별-세부구분'!G106</f>
        <v>0</v>
      </c>
      <c r="T92" s="114">
        <f>'부두별-세부구분'!H106</f>
        <v>0</v>
      </c>
      <c r="U92" s="114">
        <f>'부두별-세부구분'!I106</f>
        <v>0</v>
      </c>
      <c r="V92" s="104" t="str">
        <f t="shared" si="27"/>
        <v>_</v>
      </c>
      <c r="W92" s="104" t="str">
        <f t="shared" si="27"/>
        <v>_</v>
      </c>
      <c r="X92" s="134"/>
    </row>
    <row r="93" spans="2:24" s="4" customFormat="1" ht="23.1" customHeight="1">
      <c r="B93"/>
      <c r="C93"/>
      <c r="D93"/>
      <c r="E93"/>
      <c r="F93"/>
      <c r="G93"/>
      <c r="H93"/>
      <c r="I93"/>
      <c r="J93"/>
      <c r="K93"/>
      <c r="L93"/>
      <c r="N93" s="138" t="s">
        <v>64</v>
      </c>
      <c r="O93" s="139"/>
      <c r="P93" s="139" t="s">
        <v>16</v>
      </c>
      <c r="Q93" s="376"/>
      <c r="R93" s="178">
        <f>'부두별-세부구분'!F107</f>
        <v>0</v>
      </c>
      <c r="S93" s="178">
        <f>'부두별-세부구분'!G107</f>
        <v>0</v>
      </c>
      <c r="T93" s="178">
        <f>'부두별-세부구분'!H107</f>
        <v>0</v>
      </c>
      <c r="U93" s="178">
        <f>'부두별-세부구분'!I107</f>
        <v>0</v>
      </c>
      <c r="V93" s="162" t="str">
        <f t="shared" si="27"/>
        <v>_</v>
      </c>
      <c r="W93" s="162" t="str">
        <f t="shared" si="27"/>
        <v>_</v>
      </c>
      <c r="X93" s="81"/>
    </row>
    <row r="94" spans="2:24" s="5" customFormat="1" ht="20.100000000000001" customHeight="1">
      <c r="B94"/>
      <c r="C94"/>
      <c r="D94"/>
      <c r="E94"/>
      <c r="F94"/>
      <c r="G94"/>
      <c r="H94"/>
      <c r="I94"/>
      <c r="J94"/>
      <c r="K94"/>
      <c r="L94"/>
    </row>
    <row r="95" spans="2:24" s="5" customFormat="1" ht="17.45" customHeight="1">
      <c r="B95"/>
      <c r="C95"/>
      <c r="D95"/>
      <c r="E95"/>
      <c r="F95"/>
      <c r="G95"/>
      <c r="H95"/>
      <c r="I95"/>
      <c r="J95"/>
      <c r="K95"/>
      <c r="L95"/>
      <c r="N95" s="3"/>
      <c r="O95" s="3"/>
    </row>
    <row r="96" spans="2:24" s="5" customFormat="1" ht="17.45" customHeight="1">
      <c r="B96"/>
      <c r="C96"/>
      <c r="D96"/>
      <c r="E96"/>
      <c r="F96"/>
      <c r="G96"/>
      <c r="H96"/>
      <c r="I96"/>
      <c r="J96"/>
      <c r="K96"/>
      <c r="L96"/>
      <c r="N96" s="4"/>
      <c r="O96" s="4"/>
    </row>
    <row r="97" spans="2:24" s="5" customFormat="1" ht="17.45" customHeight="1">
      <c r="B97"/>
      <c r="C97"/>
      <c r="D97"/>
      <c r="E97"/>
      <c r="F97"/>
      <c r="G97"/>
      <c r="H97"/>
      <c r="I97"/>
      <c r="J97"/>
      <c r="K97"/>
      <c r="L97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2:24" s="5" customFormat="1" ht="17.45" customHeight="1">
      <c r="B98"/>
      <c r="C98"/>
      <c r="D98"/>
      <c r="E98"/>
      <c r="F98"/>
      <c r="G98"/>
      <c r="H98"/>
      <c r="I98"/>
      <c r="J98"/>
      <c r="K98"/>
      <c r="L98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2:24" s="5" customFormat="1" ht="17.45" customHeight="1">
      <c r="B99"/>
      <c r="C99"/>
      <c r="D99"/>
      <c r="E99"/>
      <c r="F99"/>
      <c r="G99"/>
      <c r="H99"/>
      <c r="I99"/>
      <c r="J99"/>
      <c r="K99"/>
      <c r="L99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2:24" s="5" customFormat="1" ht="17.45" customHeight="1">
      <c r="B100"/>
      <c r="C100"/>
      <c r="D100"/>
      <c r="E100"/>
      <c r="F100"/>
      <c r="G100"/>
      <c r="H100"/>
      <c r="I100"/>
      <c r="J100"/>
      <c r="K100"/>
      <c r="L100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2:24" s="5" customFormat="1" ht="18" customHeight="1">
      <c r="B101"/>
      <c r="C101"/>
      <c r="D101"/>
      <c r="E101"/>
      <c r="F101"/>
      <c r="G101"/>
      <c r="H101"/>
      <c r="I101"/>
      <c r="J101"/>
      <c r="K101"/>
      <c r="L101"/>
      <c r="P101" s="4"/>
      <c r="Q101" s="4"/>
      <c r="R101" s="4"/>
      <c r="S101" s="4"/>
      <c r="T101" s="4"/>
      <c r="U101" s="4"/>
      <c r="V101" s="4"/>
      <c r="W101" s="4"/>
      <c r="X101" s="4"/>
    </row>
    <row r="102" spans="2:24" s="3" customFormat="1" ht="13.7" customHeight="1">
      <c r="B102"/>
      <c r="C102"/>
      <c r="D102"/>
      <c r="E102"/>
      <c r="F102"/>
      <c r="G102"/>
      <c r="H102"/>
      <c r="I102"/>
      <c r="J102"/>
      <c r="K102"/>
      <c r="L102"/>
      <c r="N102" s="5"/>
      <c r="O102" s="5"/>
      <c r="P102" s="4"/>
      <c r="Q102" s="4"/>
      <c r="R102" s="4"/>
      <c r="S102" s="4"/>
      <c r="T102" s="4"/>
      <c r="U102" s="4"/>
      <c r="V102" s="4"/>
      <c r="W102" s="4"/>
      <c r="X102" s="4"/>
    </row>
    <row r="103" spans="2:24" s="3" customFormat="1" ht="30" customHeight="1">
      <c r="B103"/>
      <c r="C103"/>
      <c r="D103"/>
      <c r="E103"/>
      <c r="F103"/>
      <c r="G103"/>
      <c r="H103"/>
      <c r="I103"/>
      <c r="J103"/>
      <c r="K103"/>
      <c r="L103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2:24" s="4" customFormat="1" ht="15" customHeight="1">
      <c r="B104"/>
      <c r="C104"/>
      <c r="D104"/>
      <c r="E104"/>
      <c r="F104"/>
      <c r="G104"/>
      <c r="H104"/>
      <c r="I104"/>
      <c r="J104"/>
      <c r="K104"/>
      <c r="L104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2:24" s="4" customFormat="1" ht="15" customHeight="1">
      <c r="B105"/>
      <c r="C105"/>
      <c r="D105"/>
      <c r="E105"/>
      <c r="F105"/>
      <c r="G105"/>
      <c r="H105"/>
      <c r="I105"/>
      <c r="J105"/>
      <c r="K105"/>
      <c r="L105"/>
      <c r="N105" s="3"/>
      <c r="O105" s="3"/>
      <c r="P105" s="5"/>
      <c r="Q105" s="5"/>
      <c r="R105" s="5"/>
      <c r="S105" s="5"/>
      <c r="T105" s="5"/>
      <c r="U105" s="5"/>
      <c r="V105" s="5"/>
      <c r="W105" s="5"/>
      <c r="X105" s="5"/>
    </row>
    <row r="106" spans="2:24" s="4" customFormat="1">
      <c r="B106"/>
      <c r="C106"/>
      <c r="D106"/>
      <c r="E106"/>
      <c r="F106"/>
      <c r="G106"/>
      <c r="H106"/>
      <c r="I106"/>
      <c r="J106"/>
      <c r="K106"/>
      <c r="L106"/>
      <c r="P106" s="5"/>
      <c r="Q106" s="5"/>
      <c r="R106" s="5"/>
      <c r="S106" s="5"/>
      <c r="T106" s="5"/>
      <c r="U106" s="5"/>
      <c r="V106" s="5"/>
      <c r="W106" s="5"/>
      <c r="X106" s="5"/>
    </row>
    <row r="107" spans="2:24" s="4" customFormat="1" ht="20.100000000000001" customHeight="1">
      <c r="B107"/>
      <c r="C107"/>
      <c r="D107"/>
      <c r="E107"/>
      <c r="F107"/>
      <c r="G107"/>
      <c r="H107"/>
      <c r="I107"/>
      <c r="J107"/>
      <c r="K107"/>
      <c r="L107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2:24" s="4" customFormat="1" ht="20.100000000000001" customHeight="1">
      <c r="B108"/>
      <c r="C108"/>
      <c r="D108"/>
      <c r="E108"/>
      <c r="F108"/>
      <c r="G108"/>
      <c r="H108"/>
      <c r="I108"/>
      <c r="J108"/>
      <c r="K108"/>
      <c r="L108"/>
    </row>
    <row r="109" spans="2:24" s="4" customFormat="1" ht="20.100000000000001" customHeight="1">
      <c r="B109"/>
      <c r="C109"/>
      <c r="D109"/>
      <c r="E109"/>
      <c r="F109"/>
      <c r="G109"/>
      <c r="H109"/>
      <c r="I109"/>
      <c r="J109"/>
      <c r="K109"/>
      <c r="L109"/>
      <c r="N109" s="5"/>
      <c r="O109" s="5"/>
    </row>
    <row r="110" spans="2:24" s="4" customFormat="1" ht="20.100000000000001" customHeight="1">
      <c r="B110"/>
      <c r="C110"/>
      <c r="D110"/>
      <c r="E110"/>
      <c r="F110"/>
      <c r="G110"/>
      <c r="H110"/>
      <c r="I110"/>
      <c r="J110"/>
      <c r="K110"/>
      <c r="L110"/>
      <c r="N110" s="5"/>
      <c r="O110" s="5"/>
    </row>
    <row r="111" spans="2:24" s="4" customFormat="1" ht="20.100000000000001" customHeight="1">
      <c r="B111"/>
      <c r="C111"/>
      <c r="D111"/>
      <c r="E111"/>
      <c r="F111"/>
      <c r="G111"/>
      <c r="H111"/>
      <c r="I111"/>
      <c r="J111"/>
      <c r="K111"/>
      <c r="L111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2:24" s="4" customFormat="1" ht="20.100000000000001" customHeight="1">
      <c r="B112"/>
      <c r="C112"/>
      <c r="D112"/>
      <c r="E112"/>
      <c r="F112"/>
      <c r="G112"/>
      <c r="H112"/>
      <c r="I112"/>
      <c r="J112"/>
      <c r="K112"/>
      <c r="L112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2:24" s="4" customFormat="1" ht="20.100000000000001" customHeight="1">
      <c r="B113"/>
      <c r="C113"/>
      <c r="D113"/>
      <c r="E113"/>
      <c r="F113"/>
      <c r="G113"/>
      <c r="H113"/>
      <c r="I113"/>
      <c r="J113"/>
      <c r="K113"/>
      <c r="L113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2:24" s="4" customFormat="1" ht="20.100000000000001" customHeight="1">
      <c r="B114"/>
      <c r="C114"/>
      <c r="D114"/>
      <c r="E114"/>
      <c r="F114"/>
      <c r="G114"/>
      <c r="H114"/>
      <c r="I114"/>
      <c r="J114"/>
      <c r="K114"/>
      <c r="L114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2:24" s="4" customFormat="1" ht="20.100000000000001" customHeight="1">
      <c r="B115"/>
      <c r="C115"/>
      <c r="D115"/>
      <c r="E115"/>
      <c r="F115"/>
      <c r="G115"/>
      <c r="H115"/>
      <c r="I115"/>
      <c r="J115"/>
      <c r="K115"/>
      <c r="L11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2:24" s="5" customFormat="1" ht="21.2" customHeight="1">
      <c r="B116"/>
      <c r="C116"/>
      <c r="D116"/>
      <c r="E116"/>
      <c r="F116"/>
      <c r="G116"/>
      <c r="H116"/>
      <c r="I116"/>
      <c r="J116"/>
      <c r="K116"/>
      <c r="L116"/>
    </row>
    <row r="117" spans="2:24" s="5" customFormat="1" ht="21.2" customHeight="1">
      <c r="B117"/>
      <c r="C117"/>
      <c r="D117"/>
      <c r="E117"/>
      <c r="F117"/>
      <c r="G117"/>
      <c r="H117"/>
      <c r="I117"/>
      <c r="J117"/>
      <c r="K117"/>
      <c r="L117"/>
      <c r="N117" s="3"/>
      <c r="O117" s="3"/>
    </row>
    <row r="118" spans="2:24" s="5" customFormat="1" ht="20.100000000000001" customHeight="1">
      <c r="B118"/>
      <c r="C118"/>
      <c r="D118"/>
      <c r="E118"/>
      <c r="F118"/>
      <c r="G118"/>
      <c r="H118"/>
      <c r="I118"/>
      <c r="J118"/>
      <c r="K118"/>
      <c r="L118"/>
      <c r="N118" s="3"/>
      <c r="O118" s="3"/>
    </row>
    <row r="119" spans="2:24" s="5" customFormat="1" ht="20.100000000000001" customHeight="1">
      <c r="B119"/>
      <c r="C119"/>
      <c r="D119"/>
      <c r="E119"/>
      <c r="F119"/>
      <c r="G119"/>
      <c r="H119"/>
      <c r="I119"/>
      <c r="J119"/>
      <c r="K119"/>
      <c r="L119"/>
      <c r="N119" s="4"/>
      <c r="O119" s="4"/>
      <c r="P119" s="3"/>
      <c r="Q119" s="3"/>
      <c r="R119" s="3"/>
      <c r="S119" s="3"/>
      <c r="T119" s="3"/>
      <c r="U119" s="3"/>
      <c r="V119" s="3"/>
      <c r="W119" s="3"/>
      <c r="X119" s="3"/>
    </row>
    <row r="120" spans="2:24" s="5" customFormat="1" ht="20.100000000000001" customHeight="1">
      <c r="B120"/>
      <c r="C120"/>
      <c r="D120"/>
      <c r="E120"/>
      <c r="F120"/>
      <c r="G120"/>
      <c r="H120"/>
      <c r="I120"/>
      <c r="J120"/>
      <c r="K120"/>
      <c r="L120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2:24" s="3" customFormat="1" ht="30" customHeight="1">
      <c r="B121"/>
      <c r="C121"/>
      <c r="D121"/>
      <c r="E121"/>
      <c r="F121"/>
      <c r="G121"/>
      <c r="H121"/>
      <c r="I121"/>
      <c r="J121"/>
      <c r="K121"/>
      <c r="L121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2:24" s="4" customFormat="1" ht="15" customHeight="1">
      <c r="B122"/>
      <c r="C122"/>
      <c r="D122"/>
      <c r="E122"/>
      <c r="F122"/>
      <c r="G122"/>
      <c r="H122"/>
      <c r="I122"/>
      <c r="J122"/>
      <c r="K122"/>
      <c r="L122"/>
    </row>
    <row r="123" spans="2:24" s="4" customFormat="1" ht="15" customHeight="1">
      <c r="B123"/>
      <c r="C123"/>
      <c r="D123"/>
      <c r="E123"/>
      <c r="F123"/>
      <c r="G123"/>
      <c r="H123"/>
      <c r="I123"/>
      <c r="J123"/>
      <c r="K123"/>
      <c r="L123"/>
    </row>
    <row r="124" spans="2:24" s="4" customFormat="1">
      <c r="B124"/>
      <c r="C124"/>
      <c r="D124"/>
      <c r="E124"/>
      <c r="F124"/>
      <c r="G124"/>
      <c r="H124"/>
      <c r="I124"/>
      <c r="J124"/>
      <c r="K124"/>
      <c r="L124"/>
    </row>
    <row r="125" spans="2:24" s="4" customFormat="1" ht="20.100000000000001" customHeight="1">
      <c r="B125"/>
      <c r="C125"/>
      <c r="D125"/>
      <c r="E125"/>
      <c r="F125"/>
      <c r="G125"/>
      <c r="H125"/>
      <c r="I125"/>
      <c r="J125"/>
      <c r="K125"/>
      <c r="L125"/>
    </row>
    <row r="126" spans="2:24" s="4" customFormat="1" ht="20.100000000000001" customHeight="1">
      <c r="B126"/>
      <c r="C126"/>
      <c r="D126"/>
      <c r="E126"/>
      <c r="F126"/>
      <c r="G126"/>
      <c r="H126"/>
      <c r="I126"/>
      <c r="J126"/>
      <c r="K126"/>
      <c r="L126"/>
    </row>
    <row r="127" spans="2:24" s="4" customFormat="1" ht="20.100000000000001" customHeight="1">
      <c r="B127"/>
      <c r="C127"/>
      <c r="D127"/>
      <c r="E127"/>
      <c r="F127"/>
      <c r="G127"/>
      <c r="H127"/>
      <c r="I127"/>
      <c r="J127"/>
      <c r="K127"/>
      <c r="L127"/>
    </row>
    <row r="128" spans="2:24" s="4" customFormat="1" ht="20.100000000000001" customHeight="1">
      <c r="B128"/>
      <c r="C128"/>
      <c r="D128"/>
      <c r="E128"/>
      <c r="F128"/>
      <c r="G128"/>
      <c r="H128"/>
      <c r="I128"/>
      <c r="J128"/>
      <c r="K128"/>
      <c r="L128"/>
    </row>
    <row r="129" spans="2:24" s="4" customFormat="1" ht="20.100000000000001" customHeight="1">
      <c r="B129"/>
      <c r="C129"/>
      <c r="D129"/>
      <c r="E129"/>
      <c r="F129"/>
      <c r="G129"/>
      <c r="H129"/>
      <c r="I129"/>
      <c r="J129"/>
      <c r="K129"/>
      <c r="L129"/>
    </row>
    <row r="130" spans="2:24" s="4" customFormat="1" ht="20.100000000000001" customHeight="1">
      <c r="B130"/>
      <c r="C130"/>
      <c r="D130"/>
      <c r="E130"/>
      <c r="F130"/>
      <c r="G130"/>
      <c r="H130"/>
      <c r="I130"/>
      <c r="J130"/>
      <c r="K130"/>
      <c r="L130"/>
    </row>
    <row r="131" spans="2:24" s="4" customFormat="1" ht="20.100000000000001" customHeight="1">
      <c r="B131"/>
      <c r="C131"/>
      <c r="D131"/>
      <c r="E131"/>
      <c r="F131"/>
      <c r="G131"/>
      <c r="H131"/>
      <c r="I131"/>
      <c r="J131"/>
      <c r="K131"/>
      <c r="L131"/>
      <c r="N131" s="5"/>
      <c r="O131" s="5"/>
    </row>
    <row r="132" spans="2:24" s="4" customFormat="1" ht="20.100000000000001" customHeight="1">
      <c r="B132"/>
      <c r="C132"/>
      <c r="D132"/>
      <c r="E132"/>
      <c r="F132"/>
      <c r="G132"/>
      <c r="H132"/>
      <c r="I132"/>
      <c r="J132"/>
      <c r="K132"/>
      <c r="L132"/>
      <c r="N132" s="5"/>
      <c r="O132" s="5"/>
    </row>
    <row r="133" spans="2:24" s="5" customFormat="1" ht="20.100000000000001" customHeight="1">
      <c r="B133"/>
      <c r="C133"/>
      <c r="D133"/>
      <c r="E133"/>
      <c r="F133"/>
      <c r="G133"/>
      <c r="H133"/>
      <c r="I133"/>
      <c r="J133"/>
      <c r="K133"/>
      <c r="L133"/>
    </row>
    <row r="134" spans="2:24" s="3" customFormat="1" ht="30" customHeight="1">
      <c r="B134"/>
      <c r="C134"/>
      <c r="D134"/>
      <c r="E134"/>
      <c r="F134"/>
      <c r="G134"/>
      <c r="H134"/>
      <c r="I134"/>
      <c r="J134"/>
      <c r="K134"/>
      <c r="L134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2:24" s="3" customFormat="1" ht="16.5" customHeight="1">
      <c r="B135"/>
      <c r="C135"/>
      <c r="D135"/>
      <c r="E135"/>
      <c r="F135"/>
      <c r="G135"/>
      <c r="H135"/>
      <c r="I135"/>
      <c r="J135"/>
      <c r="K135"/>
      <c r="L13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2:24" s="3" customFormat="1" ht="16.5" customHeight="1">
      <c r="B136"/>
      <c r="C136"/>
      <c r="D136"/>
      <c r="E136"/>
      <c r="F136"/>
      <c r="G136"/>
      <c r="H136"/>
      <c r="I136"/>
      <c r="J136"/>
      <c r="K136"/>
      <c r="L136"/>
      <c r="P136" s="5"/>
      <c r="Q136" s="5"/>
      <c r="R136" s="5"/>
      <c r="S136" s="5"/>
      <c r="T136" s="5"/>
      <c r="U136" s="5"/>
      <c r="V136" s="5"/>
      <c r="W136" s="5"/>
      <c r="X136" s="5"/>
    </row>
    <row r="137" spans="2:24" s="3" customFormat="1" ht="24.75" customHeight="1">
      <c r="B137"/>
      <c r="C137"/>
      <c r="D137"/>
      <c r="E137"/>
      <c r="F137"/>
      <c r="G137"/>
      <c r="H137"/>
      <c r="I137"/>
      <c r="J137"/>
      <c r="K137"/>
      <c r="L137"/>
      <c r="N137" s="4"/>
      <c r="O137" s="4"/>
      <c r="P137" s="5"/>
      <c r="Q137" s="5"/>
      <c r="R137" s="5"/>
      <c r="S137" s="5"/>
      <c r="T137" s="5"/>
      <c r="U137" s="5"/>
      <c r="V137" s="5"/>
      <c r="W137" s="5"/>
      <c r="X137" s="5"/>
    </row>
    <row r="138" spans="2:24" s="3" customFormat="1" ht="19.5" customHeight="1">
      <c r="B138"/>
      <c r="C138"/>
      <c r="D138"/>
      <c r="E138"/>
      <c r="F138"/>
      <c r="G138"/>
      <c r="H138"/>
      <c r="I138"/>
      <c r="J138"/>
      <c r="K138"/>
      <c r="L138"/>
    </row>
    <row r="139" spans="2:24" s="3" customFormat="1" ht="19.5" customHeight="1">
      <c r="B139"/>
      <c r="C139"/>
      <c r="D139"/>
      <c r="E139"/>
      <c r="F139"/>
      <c r="G139"/>
      <c r="H139"/>
      <c r="I139"/>
      <c r="J139"/>
      <c r="K139"/>
      <c r="L139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2:24" s="3" customFormat="1" ht="19.5" customHeight="1">
      <c r="B140"/>
      <c r="C140"/>
      <c r="D140"/>
      <c r="E140"/>
      <c r="F140"/>
      <c r="G140"/>
      <c r="H140"/>
      <c r="I140"/>
      <c r="J140"/>
      <c r="K140"/>
      <c r="L140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2:24" s="3" customFormat="1" ht="19.5" customHeight="1">
      <c r="B141"/>
      <c r="C141"/>
      <c r="D141"/>
      <c r="E141"/>
      <c r="F141"/>
      <c r="G141"/>
      <c r="H141"/>
      <c r="I141"/>
      <c r="J141"/>
      <c r="K141"/>
      <c r="L141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2:24" s="3" customFormat="1" ht="19.5" customHeight="1">
      <c r="B142"/>
      <c r="C142"/>
      <c r="D142"/>
      <c r="E142"/>
      <c r="F142"/>
      <c r="G142"/>
      <c r="H142"/>
      <c r="I142"/>
      <c r="J142"/>
      <c r="K142"/>
      <c r="L142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2:24" s="3" customFormat="1" ht="19.5" customHeight="1">
      <c r="B143"/>
      <c r="C143"/>
      <c r="D143"/>
      <c r="E143"/>
      <c r="F143"/>
      <c r="G143"/>
      <c r="H143"/>
      <c r="I143"/>
      <c r="J143"/>
      <c r="K143"/>
      <c r="L143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2:24" s="3" customFormat="1" ht="19.5" customHeight="1">
      <c r="B144"/>
      <c r="C144"/>
      <c r="D144"/>
      <c r="E144"/>
      <c r="F144"/>
      <c r="G144"/>
      <c r="H144"/>
      <c r="I144"/>
      <c r="J144"/>
      <c r="K144"/>
      <c r="L14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2:24" s="3" customFormat="1" ht="19.5" customHeight="1">
      <c r="B145"/>
      <c r="C145"/>
      <c r="D145"/>
      <c r="E145"/>
      <c r="F145"/>
      <c r="G145"/>
      <c r="H145"/>
      <c r="I145"/>
      <c r="J145"/>
      <c r="K145"/>
      <c r="L145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2:24" s="3" customFormat="1" ht="12.2" customHeight="1">
      <c r="B146"/>
      <c r="C146"/>
      <c r="D146"/>
      <c r="E146"/>
      <c r="F146"/>
      <c r="G146"/>
      <c r="H146"/>
      <c r="I146"/>
      <c r="J146"/>
      <c r="K146"/>
      <c r="L146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2:24" s="3" customFormat="1" ht="12.2" customHeight="1">
      <c r="B147"/>
      <c r="C147"/>
      <c r="D147"/>
      <c r="E147"/>
      <c r="F147"/>
      <c r="G147"/>
      <c r="H147"/>
      <c r="I147"/>
      <c r="J147"/>
      <c r="K147"/>
      <c r="L147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2:24">
      <c r="N148" s="5"/>
      <c r="O148" s="5"/>
      <c r="P148" s="4"/>
      <c r="Q148" s="4"/>
      <c r="R148" s="4"/>
      <c r="S148" s="4"/>
      <c r="T148" s="4"/>
      <c r="U148" s="4"/>
      <c r="V148" s="4"/>
      <c r="W148" s="4"/>
      <c r="X148" s="4"/>
    </row>
    <row r="149" spans="2:24">
      <c r="N149" s="3"/>
      <c r="O149" s="3"/>
      <c r="P149" s="4"/>
      <c r="Q149" s="4"/>
      <c r="R149" s="4"/>
      <c r="S149" s="4"/>
      <c r="T149" s="4"/>
      <c r="U149" s="4"/>
      <c r="V149" s="4"/>
      <c r="W149" s="4"/>
      <c r="X149" s="4"/>
    </row>
    <row r="150" spans="2:24">
      <c r="N150" s="3"/>
      <c r="O150" s="3"/>
      <c r="P150" s="5"/>
      <c r="Q150" s="5"/>
      <c r="R150" s="5"/>
      <c r="S150" s="5"/>
      <c r="T150" s="5"/>
      <c r="U150" s="5"/>
      <c r="V150" s="5"/>
      <c r="W150" s="5"/>
      <c r="X150" s="5"/>
    </row>
    <row r="151" spans="2:24"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2:24"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2:24"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2:24"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2:24"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2:24"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2:24"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2:24"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2:24"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2:24"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4:24"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4:24"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4:24"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4:24"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</sheetData>
  <mergeCells count="138">
    <mergeCell ref="Q87:Q93"/>
    <mergeCell ref="B3:X3"/>
    <mergeCell ref="N5:Q5"/>
    <mergeCell ref="N41:O41"/>
    <mergeCell ref="W41:X41"/>
    <mergeCell ref="N69:O69"/>
    <mergeCell ref="W69:X69"/>
    <mergeCell ref="P83:P85"/>
    <mergeCell ref="Q83:Q85"/>
    <mergeCell ref="R83:U83"/>
    <mergeCell ref="V83:W84"/>
    <mergeCell ref="X83:X85"/>
    <mergeCell ref="R84:S84"/>
    <mergeCell ref="T84:U84"/>
    <mergeCell ref="R71:S71"/>
    <mergeCell ref="T71:U71"/>
    <mergeCell ref="Q74:Q75"/>
    <mergeCell ref="Q79:Q80"/>
    <mergeCell ref="N82:O82"/>
    <mergeCell ref="W82:X82"/>
    <mergeCell ref="Q58:Q67"/>
    <mergeCell ref="N70:N72"/>
    <mergeCell ref="O70:O72"/>
    <mergeCell ref="P70:P72"/>
    <mergeCell ref="Q70:Q72"/>
    <mergeCell ref="R70:U70"/>
    <mergeCell ref="V70:W71"/>
    <mergeCell ref="X70:X72"/>
    <mergeCell ref="P54:P56"/>
    <mergeCell ref="Q54:Q56"/>
    <mergeCell ref="R54:U54"/>
    <mergeCell ref="V54:W55"/>
    <mergeCell ref="X54:X56"/>
    <mergeCell ref="R55:S55"/>
    <mergeCell ref="T55:U55"/>
    <mergeCell ref="V42:W43"/>
    <mergeCell ref="X42:X44"/>
    <mergeCell ref="R43:S43"/>
    <mergeCell ref="T43:U43"/>
    <mergeCell ref="Q46:Q50"/>
    <mergeCell ref="N53:O53"/>
    <mergeCell ref="W53:X53"/>
    <mergeCell ref="X30:X32"/>
    <mergeCell ref="R31:S31"/>
    <mergeCell ref="T31:U31"/>
    <mergeCell ref="N42:N44"/>
    <mergeCell ref="O42:O44"/>
    <mergeCell ref="P42:P44"/>
    <mergeCell ref="Q42:Q44"/>
    <mergeCell ref="R42:U42"/>
    <mergeCell ref="Q12:Q13"/>
    <mergeCell ref="Q14:Q16"/>
    <mergeCell ref="N29:O29"/>
    <mergeCell ref="W29:X29"/>
    <mergeCell ref="N30:N32"/>
    <mergeCell ref="O30:O32"/>
    <mergeCell ref="P30:P32"/>
    <mergeCell ref="Q30:Q32"/>
    <mergeCell ref="R30:U30"/>
    <mergeCell ref="V30:W31"/>
    <mergeCell ref="W7:X7"/>
    <mergeCell ref="N8:N10"/>
    <mergeCell ref="O8:O10"/>
    <mergeCell ref="P8:P10"/>
    <mergeCell ref="Q8:Q10"/>
    <mergeCell ref="R8:U8"/>
    <mergeCell ref="V8:W9"/>
    <mergeCell ref="X8:X10"/>
    <mergeCell ref="R9:S9"/>
    <mergeCell ref="T9:U9"/>
    <mergeCell ref="B5:E5"/>
    <mergeCell ref="N7:O7"/>
    <mergeCell ref="N54:N56"/>
    <mergeCell ref="O54:O56"/>
    <mergeCell ref="N83:N85"/>
    <mergeCell ref="O83:O85"/>
    <mergeCell ref="K53:L53"/>
    <mergeCell ref="K69:L69"/>
    <mergeCell ref="K7:L7"/>
    <mergeCell ref="K29:L29"/>
    <mergeCell ref="K41:L41"/>
    <mergeCell ref="B53:C53"/>
    <mergeCell ref="L70:L72"/>
    <mergeCell ref="F71:G71"/>
    <mergeCell ref="H71:I71"/>
    <mergeCell ref="B70:B72"/>
    <mergeCell ref="C70:C72"/>
    <mergeCell ref="D70:D72"/>
    <mergeCell ref="E70:E72"/>
    <mergeCell ref="F70:I70"/>
    <mergeCell ref="J70:K71"/>
    <mergeCell ref="J54:K55"/>
    <mergeCell ref="L54:L56"/>
    <mergeCell ref="F55:G55"/>
    <mergeCell ref="H55:I55"/>
    <mergeCell ref="E58:E60"/>
    <mergeCell ref="B69:C69"/>
    <mergeCell ref="F42:I42"/>
    <mergeCell ref="J42:K43"/>
    <mergeCell ref="L42:L44"/>
    <mergeCell ref="F43:G43"/>
    <mergeCell ref="H43:I43"/>
    <mergeCell ref="B54:B56"/>
    <mergeCell ref="C54:C56"/>
    <mergeCell ref="D54:D56"/>
    <mergeCell ref="E54:E56"/>
    <mergeCell ref="F54:I54"/>
    <mergeCell ref="E36:E37"/>
    <mergeCell ref="E38:E39"/>
    <mergeCell ref="B41:C41"/>
    <mergeCell ref="B42:B44"/>
    <mergeCell ref="C42:C44"/>
    <mergeCell ref="D42:D44"/>
    <mergeCell ref="E42:E44"/>
    <mergeCell ref="F30:I30"/>
    <mergeCell ref="J30:K31"/>
    <mergeCell ref="L30:L32"/>
    <mergeCell ref="F31:G31"/>
    <mergeCell ref="H31:I31"/>
    <mergeCell ref="E34:E35"/>
    <mergeCell ref="E22:E24"/>
    <mergeCell ref="B29:C29"/>
    <mergeCell ref="B30:B32"/>
    <mergeCell ref="C30:C32"/>
    <mergeCell ref="D30:D32"/>
    <mergeCell ref="E30:E32"/>
    <mergeCell ref="J8:K9"/>
    <mergeCell ref="L8:L10"/>
    <mergeCell ref="F9:G9"/>
    <mergeCell ref="H9:I9"/>
    <mergeCell ref="E16:E17"/>
    <mergeCell ref="E18:E21"/>
    <mergeCell ref="B7:C7"/>
    <mergeCell ref="B8:B10"/>
    <mergeCell ref="C8:C10"/>
    <mergeCell ref="D8:D10"/>
    <mergeCell ref="E8:E10"/>
    <mergeCell ref="F8:I8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I47"/>
  <sheetViews>
    <sheetView showGridLines="0" zoomScaleNormal="100" workbookViewId="0">
      <selection activeCell="F46" sqref="F46"/>
    </sheetView>
  </sheetViews>
  <sheetFormatPr defaultRowHeight="13.5"/>
  <cols>
    <col min="1" max="1" width="3.77734375" customWidth="1"/>
    <col min="2" max="7" width="19.77734375" customWidth="1"/>
  </cols>
  <sheetData>
    <row r="1" spans="1:9" s="3" customFormat="1">
      <c r="F1" s="9"/>
      <c r="G1" s="9"/>
    </row>
    <row r="2" spans="1:9" s="3" customFormat="1">
      <c r="F2" s="9"/>
      <c r="G2" s="9"/>
    </row>
    <row r="3" spans="1:9" s="3" customFormat="1" ht="42.95" customHeight="1">
      <c r="B3" s="396" t="s">
        <v>330</v>
      </c>
      <c r="C3" s="397"/>
      <c r="D3" s="397"/>
      <c r="E3" s="397"/>
      <c r="F3" s="397"/>
      <c r="G3" s="398"/>
    </row>
    <row r="4" spans="1:9" s="69" customFormat="1" ht="13.5" customHeight="1">
      <c r="B4" s="66"/>
      <c r="C4" s="66"/>
      <c r="D4" s="66"/>
      <c r="E4" s="66"/>
      <c r="F4" s="66"/>
      <c r="G4" s="66"/>
    </row>
    <row r="5" spans="1:9" ht="13.5" customHeight="1">
      <c r="A5" t="s">
        <v>266</v>
      </c>
      <c r="G5" s="70" t="s">
        <v>332</v>
      </c>
    </row>
    <row r="6" spans="1:9" s="68" customFormat="1" ht="18" customHeight="1" thickBot="1">
      <c r="B6" s="184" t="s">
        <v>335</v>
      </c>
      <c r="C6" s="185" t="s">
        <v>23</v>
      </c>
      <c r="D6" s="186" t="s">
        <v>351</v>
      </c>
      <c r="E6" s="186" t="s">
        <v>352</v>
      </c>
      <c r="F6" s="186" t="s">
        <v>353</v>
      </c>
      <c r="G6" s="187" t="s">
        <v>354</v>
      </c>
    </row>
    <row r="7" spans="1:9" s="68" customFormat="1" ht="18" customHeight="1" thickBot="1">
      <c r="B7" s="193" t="s">
        <v>336</v>
      </c>
      <c r="C7" s="194"/>
      <c r="D7" s="195">
        <f>D8+D16+D19+D27+D33+D37+D39</f>
        <v>9671193</v>
      </c>
      <c r="E7" s="195">
        <f>E8+E16+E19+E27+E33+E37+E39</f>
        <v>9310650</v>
      </c>
      <c r="F7" s="195">
        <f>SUM(F8,F16,F19,F27,F33,F37,F39)</f>
        <v>48008227</v>
      </c>
      <c r="G7" s="196">
        <f>SUM(G8,G16,G19,G27,G33,G37,G39)</f>
        <v>48439105</v>
      </c>
    </row>
    <row r="8" spans="1:9" s="68" customFormat="1" ht="18" customHeight="1">
      <c r="B8" s="188" t="s">
        <v>24</v>
      </c>
      <c r="C8" s="189"/>
      <c r="D8" s="190">
        <f>SUM(D9:D15)</f>
        <v>576563</v>
      </c>
      <c r="E8" s="191">
        <f>SUM(E9:E15)</f>
        <v>582109</v>
      </c>
      <c r="F8" s="190">
        <f>SUM(F9:F15)</f>
        <v>2649169</v>
      </c>
      <c r="G8" s="192">
        <f>SUM(G9:G15)</f>
        <v>2720097</v>
      </c>
    </row>
    <row r="9" spans="1:9" s="68" customFormat="1" ht="18" customHeight="1">
      <c r="B9" s="179"/>
      <c r="C9" s="115" t="s">
        <v>269</v>
      </c>
      <c r="D9" s="295">
        <v>1258</v>
      </c>
      <c r="E9" s="295">
        <v>1802</v>
      </c>
      <c r="F9" s="295">
        <v>13846</v>
      </c>
      <c r="G9" s="307">
        <v>13517</v>
      </c>
    </row>
    <row r="10" spans="1:9" s="68" customFormat="1" ht="18" customHeight="1">
      <c r="B10" s="179"/>
      <c r="C10" s="115" t="s">
        <v>270</v>
      </c>
      <c r="D10" s="295">
        <v>227</v>
      </c>
      <c r="E10" s="295">
        <v>988</v>
      </c>
      <c r="F10" s="295">
        <v>778</v>
      </c>
      <c r="G10" s="307">
        <v>5960</v>
      </c>
    </row>
    <row r="11" spans="1:9" s="68" customFormat="1" ht="18" customHeight="1">
      <c r="B11" s="179"/>
      <c r="C11" s="115" t="s">
        <v>271</v>
      </c>
      <c r="D11" s="295">
        <v>252679</v>
      </c>
      <c r="E11" s="295">
        <v>272885</v>
      </c>
      <c r="F11" s="295">
        <v>1256636</v>
      </c>
      <c r="G11" s="307">
        <v>1206431</v>
      </c>
    </row>
    <row r="12" spans="1:9" s="68" customFormat="1" ht="18" customHeight="1">
      <c r="B12" s="179"/>
      <c r="C12" s="115" t="s">
        <v>272</v>
      </c>
      <c r="D12" s="295">
        <v>21330</v>
      </c>
      <c r="E12" s="295">
        <v>21024</v>
      </c>
      <c r="F12" s="295">
        <v>69485</v>
      </c>
      <c r="G12" s="307">
        <v>110308</v>
      </c>
    </row>
    <row r="13" spans="1:9" s="68" customFormat="1" ht="18" customHeight="1">
      <c r="B13" s="179"/>
      <c r="C13" s="115" t="s">
        <v>273</v>
      </c>
      <c r="D13" s="295">
        <v>163847</v>
      </c>
      <c r="E13" s="295">
        <v>135824</v>
      </c>
      <c r="F13" s="295">
        <v>578003</v>
      </c>
      <c r="G13" s="307">
        <v>665857</v>
      </c>
    </row>
    <row r="14" spans="1:9" s="68" customFormat="1" ht="18" customHeight="1">
      <c r="B14" s="179"/>
      <c r="C14" s="115" t="s">
        <v>274</v>
      </c>
      <c r="D14" s="295">
        <v>8291</v>
      </c>
      <c r="E14" s="295">
        <v>11669</v>
      </c>
      <c r="F14" s="295">
        <v>68083</v>
      </c>
      <c r="G14" s="307">
        <v>43554</v>
      </c>
      <c r="I14" s="68" t="s">
        <v>346</v>
      </c>
    </row>
    <row r="15" spans="1:9" s="68" customFormat="1" ht="18" customHeight="1">
      <c r="B15" s="179"/>
      <c r="C15" s="115" t="s">
        <v>275</v>
      </c>
      <c r="D15" s="295">
        <v>128931</v>
      </c>
      <c r="E15" s="295">
        <v>137917</v>
      </c>
      <c r="F15" s="295">
        <v>662338</v>
      </c>
      <c r="G15" s="307">
        <v>674470</v>
      </c>
    </row>
    <row r="16" spans="1:9" s="68" customFormat="1" ht="18" customHeight="1">
      <c r="B16" s="181" t="s">
        <v>32</v>
      </c>
      <c r="C16" s="116"/>
      <c r="D16" s="118">
        <f>SUM(D17:D18)</f>
        <v>152235</v>
      </c>
      <c r="E16" s="118">
        <f>SUM(E17:E18)</f>
        <v>82790</v>
      </c>
      <c r="F16" s="117">
        <f>SUM(F17:F18)</f>
        <v>758899</v>
      </c>
      <c r="G16" s="180">
        <f>SUM(G17:G18)</f>
        <v>859364</v>
      </c>
    </row>
    <row r="17" spans="2:7" s="68" customFormat="1" ht="18" customHeight="1">
      <c r="B17" s="181"/>
      <c r="C17" s="115" t="s">
        <v>277</v>
      </c>
      <c r="D17" s="295">
        <v>112616</v>
      </c>
      <c r="E17" s="295">
        <v>77110</v>
      </c>
      <c r="F17" s="295">
        <v>503893</v>
      </c>
      <c r="G17" s="307">
        <v>611254</v>
      </c>
    </row>
    <row r="18" spans="2:7" s="68" customFormat="1" ht="18" customHeight="1">
      <c r="B18" s="181"/>
      <c r="C18" s="115" t="s">
        <v>276</v>
      </c>
      <c r="D18" s="295">
        <v>39619</v>
      </c>
      <c r="E18" s="295">
        <v>5680</v>
      </c>
      <c r="F18" s="295">
        <v>255006</v>
      </c>
      <c r="G18" s="307">
        <v>248110</v>
      </c>
    </row>
    <row r="19" spans="2:7" s="68" customFormat="1" ht="18" customHeight="1">
      <c r="B19" s="179" t="s">
        <v>85</v>
      </c>
      <c r="C19" s="116"/>
      <c r="D19" s="118">
        <f>SUM(D20:D26)</f>
        <v>4184534</v>
      </c>
      <c r="E19" s="118">
        <f>SUM(E20:E26)</f>
        <v>3377153</v>
      </c>
      <c r="F19" s="117">
        <f>SUM(F20:F26)</f>
        <v>19202346</v>
      </c>
      <c r="G19" s="180">
        <f>SUM(G20:G26)</f>
        <v>18608262</v>
      </c>
    </row>
    <row r="20" spans="2:7" s="68" customFormat="1" ht="18" customHeight="1">
      <c r="B20" s="179"/>
      <c r="C20" s="115" t="s">
        <v>34</v>
      </c>
      <c r="D20" s="295">
        <v>84909</v>
      </c>
      <c r="E20" s="295">
        <v>5000</v>
      </c>
      <c r="F20" s="295">
        <v>272557</v>
      </c>
      <c r="G20" s="307">
        <v>54400</v>
      </c>
    </row>
    <row r="21" spans="2:7" s="68" customFormat="1" ht="18" customHeight="1">
      <c r="B21" s="179"/>
      <c r="C21" s="115" t="s">
        <v>56</v>
      </c>
      <c r="D21" s="295">
        <v>794230</v>
      </c>
      <c r="E21" s="295">
        <v>723529</v>
      </c>
      <c r="F21" s="295">
        <v>3597881</v>
      </c>
      <c r="G21" s="307">
        <v>3931337</v>
      </c>
    </row>
    <row r="22" spans="2:7" s="68" customFormat="1" ht="18" customHeight="1">
      <c r="B22" s="179"/>
      <c r="C22" s="115" t="s">
        <v>33</v>
      </c>
      <c r="D22" s="295">
        <v>1723534</v>
      </c>
      <c r="E22" s="295">
        <v>1368767</v>
      </c>
      <c r="F22" s="295">
        <v>8062982</v>
      </c>
      <c r="G22" s="307">
        <v>7987796</v>
      </c>
    </row>
    <row r="23" spans="2:7" s="68" customFormat="1" ht="18" customHeight="1">
      <c r="B23" s="179"/>
      <c r="C23" s="115" t="s">
        <v>278</v>
      </c>
      <c r="D23" s="295">
        <v>420949</v>
      </c>
      <c r="E23" s="295">
        <v>303091</v>
      </c>
      <c r="F23" s="295">
        <v>1903485</v>
      </c>
      <c r="G23" s="307">
        <v>1561500</v>
      </c>
    </row>
    <row r="24" spans="2:7" s="68" customFormat="1" ht="18" customHeight="1">
      <c r="B24" s="179"/>
      <c r="C24" s="119" t="s">
        <v>279</v>
      </c>
      <c r="D24" s="295">
        <v>34839</v>
      </c>
      <c r="E24" s="295">
        <v>38640</v>
      </c>
      <c r="F24" s="295">
        <v>223995</v>
      </c>
      <c r="G24" s="307">
        <v>201882</v>
      </c>
    </row>
    <row r="25" spans="2:7" s="68" customFormat="1" ht="18" customHeight="1">
      <c r="B25" s="179"/>
      <c r="C25" s="119" t="s">
        <v>280</v>
      </c>
      <c r="D25" s="295">
        <v>1075033</v>
      </c>
      <c r="E25" s="295">
        <v>887542</v>
      </c>
      <c r="F25" s="295">
        <v>4943862</v>
      </c>
      <c r="G25" s="307">
        <v>4637673</v>
      </c>
    </row>
    <row r="26" spans="2:7" s="68" customFormat="1" ht="18" customHeight="1">
      <c r="B26" s="179"/>
      <c r="C26" s="119" t="s">
        <v>38</v>
      </c>
      <c r="D26" s="295">
        <v>51040</v>
      </c>
      <c r="E26" s="295">
        <v>50584</v>
      </c>
      <c r="F26" s="295">
        <v>197584</v>
      </c>
      <c r="G26" s="307">
        <v>233674</v>
      </c>
    </row>
    <row r="27" spans="2:7" s="68" customFormat="1" ht="18" customHeight="1">
      <c r="B27" s="179" t="s">
        <v>39</v>
      </c>
      <c r="C27" s="120"/>
      <c r="D27" s="118">
        <f>SUM(D28:D32)</f>
        <v>2013400</v>
      </c>
      <c r="E27" s="118">
        <f>SUM(E28:E32)</f>
        <v>2454555</v>
      </c>
      <c r="F27" s="117">
        <f>SUM(F28:F32)</f>
        <v>12833850</v>
      </c>
      <c r="G27" s="180">
        <f>SUM(G28:G32)</f>
        <v>13163197</v>
      </c>
    </row>
    <row r="28" spans="2:7" s="68" customFormat="1" ht="18" customHeight="1">
      <c r="B28" s="179"/>
      <c r="C28" s="119" t="s">
        <v>294</v>
      </c>
      <c r="D28" s="295" t="s">
        <v>347</v>
      </c>
      <c r="E28" s="295" t="s">
        <v>347</v>
      </c>
      <c r="F28" s="295">
        <v>0</v>
      </c>
      <c r="G28" s="307">
        <v>11746</v>
      </c>
    </row>
    <row r="29" spans="2:7" s="68" customFormat="1" ht="18" customHeight="1">
      <c r="B29" s="179"/>
      <c r="C29" s="119" t="s">
        <v>281</v>
      </c>
      <c r="D29" s="295">
        <v>316981</v>
      </c>
      <c r="E29" s="295">
        <v>238673</v>
      </c>
      <c r="F29" s="295">
        <v>1874054</v>
      </c>
      <c r="G29" s="307">
        <v>1300782</v>
      </c>
    </row>
    <row r="30" spans="2:7" s="68" customFormat="1" ht="18" customHeight="1">
      <c r="B30" s="179"/>
      <c r="C30" s="119" t="s">
        <v>282</v>
      </c>
      <c r="D30" s="295">
        <v>1547451</v>
      </c>
      <c r="E30" s="295">
        <v>2008006</v>
      </c>
      <c r="F30" s="295">
        <v>10299039</v>
      </c>
      <c r="G30" s="307">
        <v>11118024</v>
      </c>
    </row>
    <row r="31" spans="2:7" s="68" customFormat="1" ht="18" customHeight="1">
      <c r="B31" s="179"/>
      <c r="C31" s="119" t="s">
        <v>283</v>
      </c>
      <c r="D31" s="295">
        <v>89241</v>
      </c>
      <c r="E31" s="295">
        <v>108865</v>
      </c>
      <c r="F31" s="295">
        <v>426655</v>
      </c>
      <c r="G31" s="307">
        <v>400537</v>
      </c>
    </row>
    <row r="32" spans="2:7" s="68" customFormat="1" ht="18" customHeight="1">
      <c r="B32" s="179"/>
      <c r="C32" s="119" t="s">
        <v>43</v>
      </c>
      <c r="D32" s="295">
        <v>59727</v>
      </c>
      <c r="E32" s="295">
        <v>99011</v>
      </c>
      <c r="F32" s="295">
        <v>234102</v>
      </c>
      <c r="G32" s="307">
        <v>332108</v>
      </c>
    </row>
    <row r="33" spans="2:7" s="68" customFormat="1" ht="18" customHeight="1">
      <c r="B33" s="179" t="s">
        <v>44</v>
      </c>
      <c r="C33" s="120"/>
      <c r="D33" s="118">
        <f>SUM(D34:D36)</f>
        <v>62581</v>
      </c>
      <c r="E33" s="118">
        <f>SUM(E34:E36)</f>
        <v>90619</v>
      </c>
      <c r="F33" s="246">
        <f>SUM(F34:F36)</f>
        <v>294598</v>
      </c>
      <c r="G33" s="180">
        <f>SUM(G34:G36)</f>
        <v>417217</v>
      </c>
    </row>
    <row r="34" spans="2:7" s="68" customFormat="1" ht="18" customHeight="1">
      <c r="B34" s="179"/>
      <c r="C34" s="119" t="s">
        <v>45</v>
      </c>
      <c r="D34" s="295">
        <v>37587</v>
      </c>
      <c r="E34" s="295">
        <v>54620</v>
      </c>
      <c r="F34" s="295">
        <v>179721</v>
      </c>
      <c r="G34" s="307">
        <v>222377</v>
      </c>
    </row>
    <row r="35" spans="2:7" s="68" customFormat="1" ht="18" customHeight="1">
      <c r="B35" s="179"/>
      <c r="C35" s="119" t="s">
        <v>46</v>
      </c>
      <c r="D35" s="295">
        <v>24994</v>
      </c>
      <c r="E35" s="295">
        <v>35932</v>
      </c>
      <c r="F35" s="295">
        <v>114662</v>
      </c>
      <c r="G35" s="307">
        <v>190640</v>
      </c>
    </row>
    <row r="36" spans="2:7" s="68" customFormat="1" ht="18" customHeight="1">
      <c r="B36" s="179"/>
      <c r="C36" s="119" t="s">
        <v>292</v>
      </c>
      <c r="D36" s="295" t="s">
        <v>347</v>
      </c>
      <c r="E36" s="295">
        <v>67</v>
      </c>
      <c r="F36" s="295">
        <v>215</v>
      </c>
      <c r="G36" s="307">
        <v>4200</v>
      </c>
    </row>
    <row r="37" spans="2:7" s="68" customFormat="1" ht="18" customHeight="1">
      <c r="B37" s="179" t="s">
        <v>48</v>
      </c>
      <c r="C37" s="120"/>
      <c r="D37" s="118">
        <f>D38</f>
        <v>1582631</v>
      </c>
      <c r="E37" s="118">
        <f t="shared" ref="E37:G37" si="0">E38</f>
        <v>1618237</v>
      </c>
      <c r="F37" s="117">
        <f>F38</f>
        <v>6933714</v>
      </c>
      <c r="G37" s="247">
        <f t="shared" si="0"/>
        <v>7464357</v>
      </c>
    </row>
    <row r="38" spans="2:7" s="68" customFormat="1" ht="18" customHeight="1">
      <c r="B38" s="179"/>
      <c r="C38" s="119" t="s">
        <v>291</v>
      </c>
      <c r="D38" s="295">
        <v>1582631</v>
      </c>
      <c r="E38" s="295">
        <v>1618237</v>
      </c>
      <c r="F38" s="295">
        <v>6933714</v>
      </c>
      <c r="G38" s="307">
        <v>7464357</v>
      </c>
    </row>
    <row r="39" spans="2:7" s="68" customFormat="1" ht="18" customHeight="1">
      <c r="B39" s="179" t="s">
        <v>50</v>
      </c>
      <c r="C39" s="120"/>
      <c r="D39" s="118">
        <f>SUM(D40:D46)</f>
        <v>1099249</v>
      </c>
      <c r="E39" s="118">
        <f>SUM(E40:E46)</f>
        <v>1105187</v>
      </c>
      <c r="F39" s="117">
        <f>SUM(F40:F46)</f>
        <v>5335651</v>
      </c>
      <c r="G39" s="180">
        <f>SUM(G40:G46)</f>
        <v>5206611</v>
      </c>
    </row>
    <row r="40" spans="2:7" s="68" customFormat="1" ht="18" customHeight="1">
      <c r="B40" s="179"/>
      <c r="C40" s="119" t="s">
        <v>284</v>
      </c>
      <c r="D40" s="295">
        <v>5260</v>
      </c>
      <c r="E40" s="295">
        <v>5870</v>
      </c>
      <c r="F40" s="295">
        <v>17358</v>
      </c>
      <c r="G40" s="307">
        <v>17315</v>
      </c>
    </row>
    <row r="41" spans="2:7" s="68" customFormat="1" ht="18" customHeight="1">
      <c r="B41" s="179"/>
      <c r="C41" s="119" t="s">
        <v>285</v>
      </c>
      <c r="D41" s="295">
        <v>52532</v>
      </c>
      <c r="E41" s="295">
        <v>20557</v>
      </c>
      <c r="F41" s="295">
        <v>334026</v>
      </c>
      <c r="G41" s="307">
        <v>202062</v>
      </c>
    </row>
    <row r="42" spans="2:7" s="68" customFormat="1" ht="18" customHeight="1">
      <c r="B42" s="179"/>
      <c r="C42" s="119" t="s">
        <v>286</v>
      </c>
      <c r="D42" s="295">
        <v>1452</v>
      </c>
      <c r="E42" s="295">
        <v>2713</v>
      </c>
      <c r="F42" s="295">
        <v>6606</v>
      </c>
      <c r="G42" s="307">
        <v>8350</v>
      </c>
    </row>
    <row r="43" spans="2:7" s="68" customFormat="1" ht="18" customHeight="1">
      <c r="B43" s="179"/>
      <c r="C43" s="115" t="s">
        <v>287</v>
      </c>
      <c r="D43" s="295">
        <v>44973</v>
      </c>
      <c r="E43" s="295">
        <v>68751</v>
      </c>
      <c r="F43" s="295">
        <v>234102</v>
      </c>
      <c r="G43" s="307">
        <v>365819</v>
      </c>
    </row>
    <row r="44" spans="2:7" s="68" customFormat="1" ht="18" customHeight="1">
      <c r="B44" s="179"/>
      <c r="C44" s="115" t="s">
        <v>288</v>
      </c>
      <c r="D44" s="295">
        <v>2557</v>
      </c>
      <c r="E44" s="295">
        <v>12036</v>
      </c>
      <c r="F44" s="295">
        <v>10950</v>
      </c>
      <c r="G44" s="307">
        <v>42154</v>
      </c>
    </row>
    <row r="45" spans="2:7" s="68" customFormat="1" ht="18" customHeight="1">
      <c r="B45" s="179"/>
      <c r="C45" s="115" t="s">
        <v>289</v>
      </c>
      <c r="D45" s="295">
        <v>823669</v>
      </c>
      <c r="E45" s="295">
        <v>844919</v>
      </c>
      <c r="F45" s="295">
        <v>3965032</v>
      </c>
      <c r="G45" s="307">
        <v>3992619</v>
      </c>
    </row>
    <row r="46" spans="2:7" s="68" customFormat="1" ht="18" customHeight="1">
      <c r="B46" s="182"/>
      <c r="C46" s="183" t="s">
        <v>290</v>
      </c>
      <c r="D46" s="296">
        <v>168806</v>
      </c>
      <c r="E46" s="296">
        <v>150341</v>
      </c>
      <c r="F46" s="296">
        <v>767577</v>
      </c>
      <c r="G46" s="307">
        <v>578292</v>
      </c>
    </row>
    <row r="47" spans="2:7" s="68" customFormat="1" ht="15" customHeight="1"/>
  </sheetData>
  <mergeCells count="1">
    <mergeCell ref="B3:G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42" orientation="portrait" horizontalDpi="1200" r:id="rId1"/>
  <headerFooter alignWithMargins="0"/>
  <ignoredErrors>
    <ignoredError sqref="D27:E27 D33:E33 D39:E39 E1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B1:K47"/>
  <sheetViews>
    <sheetView showGridLines="0" zoomScaleNormal="100" workbookViewId="0">
      <selection activeCell="I10" sqref="I10"/>
    </sheetView>
  </sheetViews>
  <sheetFormatPr defaultRowHeight="13.5"/>
  <cols>
    <col min="1" max="1" width="3.77734375" customWidth="1"/>
    <col min="2" max="2" width="8.21875" bestFit="1" customWidth="1"/>
    <col min="3" max="3" width="17.21875" bestFit="1" customWidth="1"/>
    <col min="4" max="5" width="12.6640625" customWidth="1"/>
    <col min="6" max="6" width="12.44140625" bestFit="1" customWidth="1"/>
    <col min="7" max="7" width="10.88671875" customWidth="1"/>
    <col min="8" max="9" width="17.109375" bestFit="1" customWidth="1"/>
    <col min="10" max="10" width="12.5546875" bestFit="1" customWidth="1"/>
    <col min="11" max="11" width="10.44140625" bestFit="1" customWidth="1"/>
  </cols>
  <sheetData>
    <row r="1" spans="2:11" s="3" customFormat="1">
      <c r="F1" s="9"/>
      <c r="G1" s="9"/>
    </row>
    <row r="2" spans="2:11" s="3" customFormat="1">
      <c r="F2" s="9"/>
      <c r="G2" s="9"/>
    </row>
    <row r="3" spans="2:11" s="3" customFormat="1" ht="42.95" customHeight="1">
      <c r="B3" s="396" t="s">
        <v>330</v>
      </c>
      <c r="C3" s="397"/>
      <c r="D3" s="397"/>
      <c r="E3" s="397"/>
      <c r="F3" s="397"/>
      <c r="G3" s="397"/>
      <c r="H3" s="397"/>
      <c r="I3" s="397"/>
      <c r="J3" s="397"/>
      <c r="K3" s="398"/>
    </row>
    <row r="4" spans="2:11" ht="13.5" customHeight="1"/>
    <row r="5" spans="2:11" ht="13.5" customHeight="1">
      <c r="K5" s="70" t="s">
        <v>332</v>
      </c>
    </row>
    <row r="6" spans="2:11" s="68" customFormat="1" ht="18" customHeight="1" thickBot="1">
      <c r="B6" s="184" t="s">
        <v>335</v>
      </c>
      <c r="C6" s="185" t="s">
        <v>23</v>
      </c>
      <c r="D6" s="185" t="str">
        <f>품목별!$D$6</f>
        <v>2025년 5월</v>
      </c>
      <c r="E6" s="185" t="str">
        <f>품목별!$E$6</f>
        <v>2026년 5월</v>
      </c>
      <c r="F6" s="185" t="s">
        <v>58</v>
      </c>
      <c r="G6" s="185" t="s">
        <v>14</v>
      </c>
      <c r="H6" s="185" t="str">
        <f>품목별!F6</f>
        <v>2025년 5월(누계)</v>
      </c>
      <c r="I6" s="185" t="str">
        <f>품목별!G6</f>
        <v>2026년 5월(누계)</v>
      </c>
      <c r="J6" s="185" t="s">
        <v>58</v>
      </c>
      <c r="K6" s="202" t="s">
        <v>14</v>
      </c>
    </row>
    <row r="7" spans="2:11" s="68" customFormat="1" ht="18" customHeight="1" thickBot="1">
      <c r="B7" s="193" t="s">
        <v>337</v>
      </c>
      <c r="C7" s="194"/>
      <c r="D7" s="206">
        <f>품목별!D7</f>
        <v>9671193</v>
      </c>
      <c r="E7" s="206">
        <f>품목별!E7</f>
        <v>9310650</v>
      </c>
      <c r="F7" s="206">
        <f>E7-D7</f>
        <v>-360543</v>
      </c>
      <c r="G7" s="207">
        <f>E7/D7</f>
        <v>0.96271990435926569</v>
      </c>
      <c r="H7" s="206">
        <f>품목별!F7</f>
        <v>48008227</v>
      </c>
      <c r="I7" s="206">
        <f>품목별!G7</f>
        <v>48439105</v>
      </c>
      <c r="J7" s="206">
        <f>I7-H7</f>
        <v>430878</v>
      </c>
      <c r="K7" s="208">
        <f>I7/H7</f>
        <v>1.0089750867075344</v>
      </c>
    </row>
    <row r="8" spans="2:11" s="68" customFormat="1" ht="18" customHeight="1">
      <c r="B8" s="188" t="s">
        <v>17</v>
      </c>
      <c r="C8" s="189"/>
      <c r="D8" s="203">
        <f>품목별!D8</f>
        <v>576563</v>
      </c>
      <c r="E8" s="203">
        <f>품목별!E8</f>
        <v>582109</v>
      </c>
      <c r="F8" s="203">
        <f>E8-D8</f>
        <v>5546</v>
      </c>
      <c r="G8" s="204">
        <f>E8/D8</f>
        <v>1.0096190702490448</v>
      </c>
      <c r="H8" s="203">
        <f>품목별!F8</f>
        <v>2649169</v>
      </c>
      <c r="I8" s="203">
        <f>품목별!G8</f>
        <v>2720097</v>
      </c>
      <c r="J8" s="203">
        <f>I8-H8</f>
        <v>70928</v>
      </c>
      <c r="K8" s="205">
        <f>I8/H8</f>
        <v>1.0267736788404214</v>
      </c>
    </row>
    <row r="9" spans="2:11" s="68" customFormat="1" ht="18" customHeight="1">
      <c r="B9" s="179"/>
      <c r="C9" s="115" t="s">
        <v>25</v>
      </c>
      <c r="D9" s="123">
        <f>품목별!D9</f>
        <v>1258</v>
      </c>
      <c r="E9" s="123">
        <f>품목별!F9</f>
        <v>13846</v>
      </c>
      <c r="F9" s="121"/>
      <c r="G9" s="122"/>
      <c r="H9" s="123">
        <f>품목별!F9</f>
        <v>13846</v>
      </c>
      <c r="I9" s="123">
        <f>품목별!G9</f>
        <v>13517</v>
      </c>
      <c r="J9" s="121"/>
      <c r="K9" s="197"/>
    </row>
    <row r="10" spans="2:11" s="68" customFormat="1" ht="18" customHeight="1">
      <c r="B10" s="179"/>
      <c r="C10" s="115" t="s">
        <v>26</v>
      </c>
      <c r="D10" s="123">
        <f>품목별!D10</f>
        <v>227</v>
      </c>
      <c r="E10" s="123">
        <f>품목별!F10</f>
        <v>778</v>
      </c>
      <c r="F10" s="121"/>
      <c r="G10" s="122"/>
      <c r="H10" s="123">
        <f>품목별!F10</f>
        <v>778</v>
      </c>
      <c r="I10" s="123">
        <f>품목별!G10</f>
        <v>5960</v>
      </c>
      <c r="J10" s="121"/>
      <c r="K10" s="197"/>
    </row>
    <row r="11" spans="2:11" s="68" customFormat="1" ht="18" customHeight="1">
      <c r="B11" s="179"/>
      <c r="C11" s="115" t="s">
        <v>27</v>
      </c>
      <c r="D11" s="123">
        <f>품목별!D11</f>
        <v>252679</v>
      </c>
      <c r="E11" s="123">
        <f>품목별!F11</f>
        <v>1256636</v>
      </c>
      <c r="F11" s="121"/>
      <c r="G11" s="122"/>
      <c r="H11" s="123">
        <f>품목별!F11</f>
        <v>1256636</v>
      </c>
      <c r="I11" s="123">
        <f>품목별!G11</f>
        <v>1206431</v>
      </c>
      <c r="J11" s="121"/>
      <c r="K11" s="197"/>
    </row>
    <row r="12" spans="2:11" s="68" customFormat="1" ht="18" customHeight="1">
      <c r="B12" s="179"/>
      <c r="C12" s="115" t="s">
        <v>28</v>
      </c>
      <c r="D12" s="123">
        <f>품목별!D12</f>
        <v>21330</v>
      </c>
      <c r="E12" s="123">
        <f>품목별!F12</f>
        <v>69485</v>
      </c>
      <c r="F12" s="121"/>
      <c r="G12" s="122"/>
      <c r="H12" s="123">
        <f>품목별!F12</f>
        <v>69485</v>
      </c>
      <c r="I12" s="123">
        <f>품목별!G12</f>
        <v>110308</v>
      </c>
      <c r="J12" s="121"/>
      <c r="K12" s="197"/>
    </row>
    <row r="13" spans="2:11" s="68" customFormat="1" ht="18" customHeight="1">
      <c r="B13" s="179"/>
      <c r="C13" s="115" t="s">
        <v>29</v>
      </c>
      <c r="D13" s="123">
        <f>품목별!D13</f>
        <v>163847</v>
      </c>
      <c r="E13" s="123">
        <f>품목별!F13</f>
        <v>578003</v>
      </c>
      <c r="F13" s="121"/>
      <c r="G13" s="122"/>
      <c r="H13" s="123">
        <f>품목별!F13</f>
        <v>578003</v>
      </c>
      <c r="I13" s="123">
        <f>품목별!G13</f>
        <v>665857</v>
      </c>
      <c r="J13" s="121"/>
      <c r="K13" s="197"/>
    </row>
    <row r="14" spans="2:11" s="68" customFormat="1" ht="18" customHeight="1">
      <c r="B14" s="179"/>
      <c r="C14" s="115" t="s">
        <v>30</v>
      </c>
      <c r="D14" s="123">
        <f>품목별!D14</f>
        <v>8291</v>
      </c>
      <c r="E14" s="123">
        <f>품목별!E14</f>
        <v>11669</v>
      </c>
      <c r="F14" s="121"/>
      <c r="G14" s="122"/>
      <c r="H14" s="123">
        <f>품목별!F14</f>
        <v>68083</v>
      </c>
      <c r="I14" s="123">
        <f>품목별!G14</f>
        <v>43554</v>
      </c>
      <c r="J14" s="121"/>
      <c r="K14" s="197"/>
    </row>
    <row r="15" spans="2:11" s="68" customFormat="1" ht="18" customHeight="1">
      <c r="B15" s="179"/>
      <c r="C15" s="115" t="s">
        <v>31</v>
      </c>
      <c r="D15" s="123">
        <f>품목별!D15</f>
        <v>128931</v>
      </c>
      <c r="E15" s="123">
        <f>품목별!E15</f>
        <v>137917</v>
      </c>
      <c r="F15" s="121"/>
      <c r="G15" s="122"/>
      <c r="H15" s="123">
        <f>품목별!F15</f>
        <v>662338</v>
      </c>
      <c r="I15" s="123">
        <f>품목별!G15</f>
        <v>674470</v>
      </c>
      <c r="J15" s="121"/>
      <c r="K15" s="197"/>
    </row>
    <row r="16" spans="2:11" s="68" customFormat="1" ht="18" customHeight="1">
      <c r="B16" s="181" t="s">
        <v>16</v>
      </c>
      <c r="C16" s="116"/>
      <c r="D16" s="121">
        <f>품목별!D16</f>
        <v>152235</v>
      </c>
      <c r="E16" s="121">
        <f>품목별!E16</f>
        <v>82790</v>
      </c>
      <c r="F16" s="121">
        <f>E16-D16</f>
        <v>-69445</v>
      </c>
      <c r="G16" s="122">
        <f>E16/D16</f>
        <v>0.5438302624232273</v>
      </c>
      <c r="H16" s="121">
        <f>품목별!F16</f>
        <v>758899</v>
      </c>
      <c r="I16" s="121">
        <f>품목별!G16</f>
        <v>859364</v>
      </c>
      <c r="J16" s="121">
        <f>I16-H16</f>
        <v>100465</v>
      </c>
      <c r="K16" s="197">
        <f>I16/H16</f>
        <v>1.1323825700126104</v>
      </c>
    </row>
    <row r="17" spans="2:11" s="68" customFormat="1" ht="18" customHeight="1">
      <c r="B17" s="181"/>
      <c r="C17" s="115" t="s">
        <v>340</v>
      </c>
      <c r="D17" s="123">
        <f>품목별!D17</f>
        <v>112616</v>
      </c>
      <c r="E17" s="123">
        <f>품목별!E17</f>
        <v>77110</v>
      </c>
      <c r="F17" s="121"/>
      <c r="G17" s="122"/>
      <c r="H17" s="123">
        <f>품목별!F17</f>
        <v>503893</v>
      </c>
      <c r="I17" s="123">
        <f>품목별!G17</f>
        <v>611254</v>
      </c>
      <c r="J17" s="121"/>
      <c r="K17" s="197"/>
    </row>
    <row r="18" spans="2:11" s="68" customFormat="1" ht="18" customHeight="1">
      <c r="B18" s="181"/>
      <c r="C18" s="115" t="s">
        <v>341</v>
      </c>
      <c r="D18" s="123">
        <f>품목별!D18</f>
        <v>39619</v>
      </c>
      <c r="E18" s="123">
        <f>품목별!E18</f>
        <v>5680</v>
      </c>
      <c r="F18" s="121"/>
      <c r="G18" s="122"/>
      <c r="H18" s="123">
        <f>품목별!F18</f>
        <v>255006</v>
      </c>
      <c r="I18" s="123">
        <f>품목별!G18</f>
        <v>248110</v>
      </c>
      <c r="J18" s="121"/>
      <c r="K18" s="197"/>
    </row>
    <row r="19" spans="2:11" s="68" customFormat="1" ht="18" customHeight="1">
      <c r="B19" s="179" t="s">
        <v>33</v>
      </c>
      <c r="C19" s="116"/>
      <c r="D19" s="121">
        <f>품목별!D19</f>
        <v>4184534</v>
      </c>
      <c r="E19" s="121">
        <f>품목별!E19</f>
        <v>3377153</v>
      </c>
      <c r="F19" s="121">
        <f>E19-D19</f>
        <v>-807381</v>
      </c>
      <c r="G19" s="122">
        <f>E19/D19</f>
        <v>0.8070559350216775</v>
      </c>
      <c r="H19" s="121">
        <f>품목별!F19</f>
        <v>19202346</v>
      </c>
      <c r="I19" s="121">
        <f>품목별!G19</f>
        <v>18608262</v>
      </c>
      <c r="J19" s="121">
        <f>I19-H19</f>
        <v>-594084</v>
      </c>
      <c r="K19" s="197">
        <f>I19/H19</f>
        <v>0.96906190524845248</v>
      </c>
    </row>
    <row r="20" spans="2:11" s="68" customFormat="1" ht="18" customHeight="1">
      <c r="B20" s="179"/>
      <c r="C20" s="115" t="s">
        <v>34</v>
      </c>
      <c r="D20" s="123">
        <f>품목별!D20</f>
        <v>84909</v>
      </c>
      <c r="E20" s="123">
        <f>품목별!E20</f>
        <v>5000</v>
      </c>
      <c r="F20" s="121"/>
      <c r="G20" s="122"/>
      <c r="H20" s="123">
        <f>품목별!F20</f>
        <v>272557</v>
      </c>
      <c r="I20" s="123">
        <f>품목별!G20</f>
        <v>54400</v>
      </c>
      <c r="J20" s="121"/>
      <c r="K20" s="197"/>
    </row>
    <row r="21" spans="2:11" s="68" customFormat="1" ht="18" customHeight="1">
      <c r="B21" s="179"/>
      <c r="C21" s="115" t="s">
        <v>56</v>
      </c>
      <c r="D21" s="123">
        <f>품목별!D21</f>
        <v>794230</v>
      </c>
      <c r="E21" s="123">
        <f>품목별!E21</f>
        <v>723529</v>
      </c>
      <c r="F21" s="121"/>
      <c r="G21" s="122"/>
      <c r="H21" s="123">
        <f>품목별!F21</f>
        <v>3597881</v>
      </c>
      <c r="I21" s="123">
        <f>품목별!G21</f>
        <v>3931337</v>
      </c>
      <c r="J21" s="121"/>
      <c r="K21" s="197"/>
    </row>
    <row r="22" spans="2:11" s="68" customFormat="1" ht="18" customHeight="1">
      <c r="B22" s="179"/>
      <c r="C22" s="115" t="s">
        <v>33</v>
      </c>
      <c r="D22" s="123">
        <f>품목별!D22</f>
        <v>1723534</v>
      </c>
      <c r="E22" s="123">
        <f>품목별!E22</f>
        <v>1368767</v>
      </c>
      <c r="F22" s="121"/>
      <c r="G22" s="122"/>
      <c r="H22" s="123">
        <f>품목별!F22</f>
        <v>8062982</v>
      </c>
      <c r="I22" s="123">
        <f>품목별!G22</f>
        <v>7987796</v>
      </c>
      <c r="J22" s="121"/>
      <c r="K22" s="197"/>
    </row>
    <row r="23" spans="2:11" s="68" customFormat="1" ht="18" customHeight="1">
      <c r="B23" s="179"/>
      <c r="C23" s="115" t="s">
        <v>35</v>
      </c>
      <c r="D23" s="123">
        <f>품목별!D23</f>
        <v>420949</v>
      </c>
      <c r="E23" s="123">
        <f>품목별!E23</f>
        <v>303091</v>
      </c>
      <c r="F23" s="121"/>
      <c r="G23" s="122"/>
      <c r="H23" s="123">
        <f>품목별!F23</f>
        <v>1903485</v>
      </c>
      <c r="I23" s="123">
        <f>품목별!G23</f>
        <v>1561500</v>
      </c>
      <c r="J23" s="121"/>
      <c r="K23" s="197"/>
    </row>
    <row r="24" spans="2:11" s="68" customFormat="1" ht="18" customHeight="1">
      <c r="B24" s="179"/>
      <c r="C24" s="115" t="s">
        <v>36</v>
      </c>
      <c r="D24" s="123">
        <f>품목별!D24</f>
        <v>34839</v>
      </c>
      <c r="E24" s="123">
        <f>품목별!E24</f>
        <v>38640</v>
      </c>
      <c r="F24" s="121"/>
      <c r="G24" s="122"/>
      <c r="H24" s="123">
        <f>품목별!F24</f>
        <v>223995</v>
      </c>
      <c r="I24" s="123">
        <f>품목별!G24</f>
        <v>201882</v>
      </c>
      <c r="J24" s="121"/>
      <c r="K24" s="197"/>
    </row>
    <row r="25" spans="2:11" s="68" customFormat="1" ht="18" customHeight="1">
      <c r="B25" s="179"/>
      <c r="C25" s="115" t="s">
        <v>37</v>
      </c>
      <c r="D25" s="123">
        <f>품목별!D25</f>
        <v>1075033</v>
      </c>
      <c r="E25" s="123">
        <f>품목별!E25</f>
        <v>887542</v>
      </c>
      <c r="F25" s="121"/>
      <c r="G25" s="122"/>
      <c r="H25" s="123">
        <f>품목별!F25</f>
        <v>4943862</v>
      </c>
      <c r="I25" s="123">
        <f>품목별!G25</f>
        <v>4637673</v>
      </c>
      <c r="J25" s="121"/>
      <c r="K25" s="197"/>
    </row>
    <row r="26" spans="2:11" s="68" customFormat="1" ht="18" customHeight="1">
      <c r="B26" s="179"/>
      <c r="C26" s="115" t="s">
        <v>38</v>
      </c>
      <c r="D26" s="123">
        <f>품목별!D26</f>
        <v>51040</v>
      </c>
      <c r="E26" s="123">
        <f>품목별!E26</f>
        <v>50584</v>
      </c>
      <c r="F26" s="121"/>
      <c r="G26" s="122"/>
      <c r="H26" s="123">
        <f>품목별!F26</f>
        <v>197584</v>
      </c>
      <c r="I26" s="123">
        <f>품목별!G26</f>
        <v>233674</v>
      </c>
      <c r="J26" s="121"/>
      <c r="K26" s="197"/>
    </row>
    <row r="27" spans="2:11" s="68" customFormat="1" ht="18" customHeight="1">
      <c r="B27" s="179" t="s">
        <v>21</v>
      </c>
      <c r="C27" s="116"/>
      <c r="D27" s="121">
        <f>품목별!D27</f>
        <v>2013400</v>
      </c>
      <c r="E27" s="121">
        <f>품목별!E27</f>
        <v>2454555</v>
      </c>
      <c r="F27" s="121">
        <f>E27-D27</f>
        <v>441155</v>
      </c>
      <c r="G27" s="122">
        <f>E27/D27</f>
        <v>1.2191094665739546</v>
      </c>
      <c r="H27" s="121">
        <f>품목별!F27</f>
        <v>12833850</v>
      </c>
      <c r="I27" s="121">
        <f>품목별!G27</f>
        <v>13163197</v>
      </c>
      <c r="J27" s="121">
        <f>I27-H27</f>
        <v>329347</v>
      </c>
      <c r="K27" s="197">
        <f>I27/H27</f>
        <v>1.0256623694370746</v>
      </c>
    </row>
    <row r="28" spans="2:11" s="68" customFormat="1" ht="18" customHeight="1">
      <c r="B28" s="179"/>
      <c r="C28" s="115" t="s">
        <v>57</v>
      </c>
      <c r="D28" s="123" t="str">
        <f>품목별!D28</f>
        <v>-</v>
      </c>
      <c r="E28" s="123" t="str">
        <f>품목별!E28</f>
        <v>-</v>
      </c>
      <c r="F28" s="121"/>
      <c r="G28" s="122"/>
      <c r="H28" s="123">
        <f>품목별!F28</f>
        <v>0</v>
      </c>
      <c r="I28" s="123">
        <f>품목별!G28</f>
        <v>11746</v>
      </c>
      <c r="J28" s="121"/>
      <c r="K28" s="197"/>
    </row>
    <row r="29" spans="2:11" s="68" customFormat="1" ht="18" customHeight="1">
      <c r="B29" s="179"/>
      <c r="C29" s="115" t="s">
        <v>40</v>
      </c>
      <c r="D29" s="123">
        <f>품목별!D29</f>
        <v>316981</v>
      </c>
      <c r="E29" s="123">
        <f>품목별!E29</f>
        <v>238673</v>
      </c>
      <c r="F29" s="121"/>
      <c r="G29" s="122"/>
      <c r="H29" s="123">
        <f>품목별!F29</f>
        <v>1874054</v>
      </c>
      <c r="I29" s="123">
        <f>품목별!G29</f>
        <v>1300782</v>
      </c>
      <c r="J29" s="121"/>
      <c r="K29" s="197"/>
    </row>
    <row r="30" spans="2:11" s="68" customFormat="1" ht="18" customHeight="1">
      <c r="B30" s="179"/>
      <c r="C30" s="115" t="s">
        <v>41</v>
      </c>
      <c r="D30" s="123">
        <f>품목별!D30</f>
        <v>1547451</v>
      </c>
      <c r="E30" s="123">
        <f>품목별!E30</f>
        <v>2008006</v>
      </c>
      <c r="F30" s="121"/>
      <c r="G30" s="122"/>
      <c r="H30" s="123">
        <f>품목별!F30</f>
        <v>10299039</v>
      </c>
      <c r="I30" s="123">
        <f>품목별!G30</f>
        <v>11118024</v>
      </c>
      <c r="J30" s="121"/>
      <c r="K30" s="197"/>
    </row>
    <row r="31" spans="2:11" s="68" customFormat="1" ht="18" customHeight="1">
      <c r="B31" s="179"/>
      <c r="C31" s="115" t="s">
        <v>42</v>
      </c>
      <c r="D31" s="123">
        <f>품목별!D31</f>
        <v>89241</v>
      </c>
      <c r="E31" s="123">
        <f>품목별!E31</f>
        <v>108865</v>
      </c>
      <c r="F31" s="121"/>
      <c r="G31" s="122"/>
      <c r="H31" s="123">
        <f>품목별!F31</f>
        <v>426655</v>
      </c>
      <c r="I31" s="123">
        <f>품목별!G31</f>
        <v>400537</v>
      </c>
      <c r="J31" s="121"/>
      <c r="K31" s="197"/>
    </row>
    <row r="32" spans="2:11" s="68" customFormat="1" ht="18" customHeight="1">
      <c r="B32" s="179"/>
      <c r="C32" s="115" t="s">
        <v>43</v>
      </c>
      <c r="D32" s="123">
        <f>품목별!D32</f>
        <v>59727</v>
      </c>
      <c r="E32" s="123">
        <f>품목별!E32</f>
        <v>99011</v>
      </c>
      <c r="F32" s="121"/>
      <c r="G32" s="122"/>
      <c r="H32" s="123">
        <f>품목별!F32</f>
        <v>234102</v>
      </c>
      <c r="I32" s="123">
        <f>품목별!G32</f>
        <v>332108</v>
      </c>
      <c r="J32" s="121"/>
      <c r="K32" s="197"/>
    </row>
    <row r="33" spans="2:11" s="68" customFormat="1" ht="18" customHeight="1">
      <c r="B33" s="179" t="s">
        <v>19</v>
      </c>
      <c r="C33" s="116"/>
      <c r="D33" s="121">
        <f>품목별!D33</f>
        <v>62581</v>
      </c>
      <c r="E33" s="121">
        <f>품목별!E33</f>
        <v>90619</v>
      </c>
      <c r="F33" s="121">
        <f t="shared" ref="F33:F39" si="0">E33-D33</f>
        <v>28038</v>
      </c>
      <c r="G33" s="122">
        <f>E33/D33</f>
        <v>1.4480273565459165</v>
      </c>
      <c r="H33" s="121">
        <f>품목별!F33</f>
        <v>294598</v>
      </c>
      <c r="I33" s="121">
        <f>품목별!G33</f>
        <v>417217</v>
      </c>
      <c r="J33" s="121">
        <f t="shared" ref="J33" si="1">I33-H33</f>
        <v>122619</v>
      </c>
      <c r="K33" s="197">
        <f>I33/H33</f>
        <v>1.416224821621328</v>
      </c>
    </row>
    <row r="34" spans="2:11" s="68" customFormat="1" ht="18" customHeight="1">
      <c r="B34" s="179"/>
      <c r="C34" s="115" t="s">
        <v>45</v>
      </c>
      <c r="D34" s="123">
        <f>품목별!D34</f>
        <v>37587</v>
      </c>
      <c r="E34" s="123">
        <f>품목별!E34</f>
        <v>54620</v>
      </c>
      <c r="F34" s="121"/>
      <c r="G34" s="122"/>
      <c r="H34" s="123">
        <f>품목별!F34</f>
        <v>179721</v>
      </c>
      <c r="I34" s="123">
        <f>품목별!G34</f>
        <v>222377</v>
      </c>
      <c r="J34" s="121"/>
      <c r="K34" s="197"/>
    </row>
    <row r="35" spans="2:11" s="68" customFormat="1" ht="18" customHeight="1">
      <c r="B35" s="179"/>
      <c r="C35" s="115" t="s">
        <v>46</v>
      </c>
      <c r="D35" s="123">
        <f>품목별!D35</f>
        <v>24994</v>
      </c>
      <c r="E35" s="123">
        <f>품목별!E35</f>
        <v>35932</v>
      </c>
      <c r="F35" s="121"/>
      <c r="G35" s="122"/>
      <c r="H35" s="123">
        <f>품목별!F35</f>
        <v>114662</v>
      </c>
      <c r="I35" s="123">
        <f>품목별!G35</f>
        <v>190640</v>
      </c>
      <c r="J35" s="121"/>
      <c r="K35" s="197"/>
    </row>
    <row r="36" spans="2:11" s="68" customFormat="1" ht="18" customHeight="1">
      <c r="B36" s="179"/>
      <c r="C36" s="115" t="s">
        <v>47</v>
      </c>
      <c r="D36" s="123" t="str">
        <f>품목별!D36</f>
        <v>-</v>
      </c>
      <c r="E36" s="123">
        <f>품목별!E36</f>
        <v>67</v>
      </c>
      <c r="F36" s="121"/>
      <c r="G36" s="122"/>
      <c r="H36" s="123">
        <f>품목별!F36</f>
        <v>215</v>
      </c>
      <c r="I36" s="123">
        <f>품목별!G36</f>
        <v>4200</v>
      </c>
      <c r="J36" s="121"/>
      <c r="K36" s="197"/>
    </row>
    <row r="37" spans="2:11" s="68" customFormat="1" ht="18" customHeight="1">
      <c r="B37" s="179" t="s">
        <v>18</v>
      </c>
      <c r="C37" s="116"/>
      <c r="D37" s="121">
        <f>품목별!D37</f>
        <v>1582631</v>
      </c>
      <c r="E37" s="121">
        <f>품목별!E37</f>
        <v>1618237</v>
      </c>
      <c r="F37" s="121">
        <f t="shared" si="0"/>
        <v>35606</v>
      </c>
      <c r="G37" s="122">
        <f>E37/D37</f>
        <v>1.0224979796301223</v>
      </c>
      <c r="H37" s="121">
        <f>품목별!F37</f>
        <v>6933714</v>
      </c>
      <c r="I37" s="121">
        <f>품목별!G37</f>
        <v>7464357</v>
      </c>
      <c r="J37" s="121">
        <f t="shared" ref="J37" si="2">I37-H37</f>
        <v>530643</v>
      </c>
      <c r="K37" s="197">
        <f>I37/H37</f>
        <v>1.0765308462391152</v>
      </c>
    </row>
    <row r="38" spans="2:11" s="68" customFormat="1" ht="18" customHeight="1">
      <c r="B38" s="179"/>
      <c r="C38" s="115" t="s">
        <v>49</v>
      </c>
      <c r="D38" s="123">
        <f>품목별!D38</f>
        <v>1582631</v>
      </c>
      <c r="E38" s="123">
        <f>품목별!E38</f>
        <v>1618237</v>
      </c>
      <c r="F38" s="121"/>
      <c r="G38" s="122"/>
      <c r="H38" s="123">
        <f>품목별!F38</f>
        <v>6933714</v>
      </c>
      <c r="I38" s="123">
        <f>품목별!G38</f>
        <v>7464357</v>
      </c>
      <c r="J38" s="121"/>
      <c r="K38" s="197"/>
    </row>
    <row r="39" spans="2:11" s="68" customFormat="1" ht="18" customHeight="1">
      <c r="B39" s="179" t="s">
        <v>20</v>
      </c>
      <c r="C39" s="116"/>
      <c r="D39" s="121">
        <f>품목별!D39</f>
        <v>1099249</v>
      </c>
      <c r="E39" s="121">
        <f>품목별!E39</f>
        <v>1105187</v>
      </c>
      <c r="F39" s="121">
        <f t="shared" si="0"/>
        <v>5938</v>
      </c>
      <c r="G39" s="122">
        <f>E39/D39</f>
        <v>1.0054018698220331</v>
      </c>
      <c r="H39" s="121">
        <f>품목별!F39</f>
        <v>5335651</v>
      </c>
      <c r="I39" s="121">
        <f>품목별!G39</f>
        <v>5206611</v>
      </c>
      <c r="J39" s="121">
        <f t="shared" ref="J39" si="3">I39-H39</f>
        <v>-129040</v>
      </c>
      <c r="K39" s="197">
        <f>I39/H39</f>
        <v>0.97581550967257791</v>
      </c>
    </row>
    <row r="40" spans="2:11" s="68" customFormat="1" ht="18" customHeight="1">
      <c r="B40" s="179"/>
      <c r="C40" s="115" t="s">
        <v>51</v>
      </c>
      <c r="D40" s="123">
        <f>품목별!D40</f>
        <v>5260</v>
      </c>
      <c r="E40" s="123">
        <f>품목별!F40</f>
        <v>17358</v>
      </c>
      <c r="F40" s="121"/>
      <c r="G40" s="122"/>
      <c r="H40" s="123">
        <f>품목별!F40</f>
        <v>17358</v>
      </c>
      <c r="I40" s="123">
        <f>품목별!G40</f>
        <v>17315</v>
      </c>
      <c r="J40" s="121"/>
      <c r="K40" s="197"/>
    </row>
    <row r="41" spans="2:11" s="68" customFormat="1" ht="18" customHeight="1">
      <c r="B41" s="179"/>
      <c r="C41" s="115" t="s">
        <v>52</v>
      </c>
      <c r="D41" s="123">
        <f>품목별!D41</f>
        <v>52532</v>
      </c>
      <c r="E41" s="123">
        <f>품목별!F41</f>
        <v>334026</v>
      </c>
      <c r="F41" s="121"/>
      <c r="G41" s="122"/>
      <c r="H41" s="123">
        <f>품목별!F41</f>
        <v>334026</v>
      </c>
      <c r="I41" s="123">
        <f>품목별!G41</f>
        <v>202062</v>
      </c>
      <c r="J41" s="121"/>
      <c r="K41" s="197"/>
    </row>
    <row r="42" spans="2:11" s="68" customFormat="1" ht="18" customHeight="1">
      <c r="B42" s="179"/>
      <c r="C42" s="115" t="s">
        <v>53</v>
      </c>
      <c r="D42" s="123">
        <f>품목별!D42</f>
        <v>1452</v>
      </c>
      <c r="E42" s="123">
        <f>품목별!E42</f>
        <v>2713</v>
      </c>
      <c r="F42" s="121"/>
      <c r="G42" s="122"/>
      <c r="H42" s="123">
        <f>품목별!F42</f>
        <v>6606</v>
      </c>
      <c r="I42" s="123">
        <f>품목별!G42</f>
        <v>8350</v>
      </c>
      <c r="J42" s="121"/>
      <c r="K42" s="197"/>
    </row>
    <row r="43" spans="2:11" s="68" customFormat="1" ht="18" customHeight="1">
      <c r="B43" s="179"/>
      <c r="C43" s="115" t="s">
        <v>264</v>
      </c>
      <c r="D43" s="123">
        <f>품목별!D43</f>
        <v>44973</v>
      </c>
      <c r="E43" s="123">
        <f>품목별!F43</f>
        <v>234102</v>
      </c>
      <c r="F43" s="121"/>
      <c r="G43" s="122"/>
      <c r="H43" s="123">
        <f>품목별!F43</f>
        <v>234102</v>
      </c>
      <c r="I43" s="123">
        <f>품목별!G43</f>
        <v>365819</v>
      </c>
      <c r="J43" s="121"/>
      <c r="K43" s="197"/>
    </row>
    <row r="44" spans="2:11" s="68" customFormat="1" ht="18" customHeight="1">
      <c r="B44" s="179"/>
      <c r="C44" s="115" t="s">
        <v>54</v>
      </c>
      <c r="D44" s="123">
        <f>품목별!D44</f>
        <v>2557</v>
      </c>
      <c r="E44" s="123">
        <f>품목별!F44</f>
        <v>10950</v>
      </c>
      <c r="F44" s="121"/>
      <c r="G44" s="122"/>
      <c r="H44" s="123">
        <f>품목별!F44</f>
        <v>10950</v>
      </c>
      <c r="I44" s="123">
        <f>품목별!G44</f>
        <v>42154</v>
      </c>
      <c r="J44" s="121"/>
      <c r="K44" s="197"/>
    </row>
    <row r="45" spans="2:11" s="68" customFormat="1" ht="18" customHeight="1">
      <c r="B45" s="179"/>
      <c r="C45" s="115" t="s">
        <v>55</v>
      </c>
      <c r="D45" s="123">
        <f>품목별!D45</f>
        <v>823669</v>
      </c>
      <c r="E45" s="123">
        <f>품목별!F45</f>
        <v>3965032</v>
      </c>
      <c r="F45" s="121"/>
      <c r="G45" s="122"/>
      <c r="H45" s="123">
        <f>품목별!F45</f>
        <v>3965032</v>
      </c>
      <c r="I45" s="123">
        <f>품목별!G45</f>
        <v>3992619</v>
      </c>
      <c r="J45" s="121"/>
      <c r="K45" s="197"/>
    </row>
    <row r="46" spans="2:11" s="68" customFormat="1" ht="18" customHeight="1">
      <c r="B46" s="182"/>
      <c r="C46" s="183" t="s">
        <v>20</v>
      </c>
      <c r="D46" s="198">
        <f>품목별!D46</f>
        <v>168806</v>
      </c>
      <c r="E46" s="198">
        <f>품목별!F46</f>
        <v>767577</v>
      </c>
      <c r="F46" s="199"/>
      <c r="G46" s="200"/>
      <c r="H46" s="198">
        <f>품목별!F46</f>
        <v>767577</v>
      </c>
      <c r="I46" s="198">
        <f>품목별!G46</f>
        <v>578292</v>
      </c>
      <c r="J46" s="199"/>
      <c r="K46" s="201"/>
    </row>
    <row r="47" spans="2:11" s="68" customFormat="1" ht="18" customHeight="1"/>
  </sheetData>
  <mergeCells count="1">
    <mergeCell ref="B3:K3"/>
  </mergeCells>
  <phoneticPr fontId="5" type="noConversion"/>
  <pageMargins left="0.25" right="0.25" top="0.75" bottom="0.75" header="0.3" footer="0.3"/>
  <pageSetup paperSize="9" scale="65" orientation="portrait" horizont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3"/>
  <sheetViews>
    <sheetView topLeftCell="A12" workbookViewId="0">
      <selection activeCell="A15" sqref="A15:B15"/>
    </sheetView>
  </sheetViews>
  <sheetFormatPr defaultRowHeight="13.5"/>
  <cols>
    <col min="1" max="1" width="20.21875" bestFit="1" customWidth="1"/>
  </cols>
  <sheetData>
    <row r="1" spans="1:2" ht="18" thickBot="1">
      <c r="A1" s="36" t="s">
        <v>234</v>
      </c>
      <c r="B1" s="33">
        <v>13</v>
      </c>
    </row>
    <row r="2" spans="1:2" ht="18" thickBot="1">
      <c r="A2" s="4" t="s">
        <v>244</v>
      </c>
      <c r="B2" s="33">
        <v>3</v>
      </c>
    </row>
    <row r="3" spans="1:2" ht="18" thickBot="1">
      <c r="A3" s="4" t="s">
        <v>238</v>
      </c>
      <c r="B3" s="33">
        <v>9</v>
      </c>
    </row>
    <row r="4" spans="1:2" ht="18" thickBot="1">
      <c r="A4" s="4" t="s">
        <v>239</v>
      </c>
      <c r="B4" s="33">
        <v>8</v>
      </c>
    </row>
    <row r="5" spans="1:2" ht="18" thickBot="1">
      <c r="A5" s="4" t="s">
        <v>210</v>
      </c>
      <c r="B5" s="33">
        <v>38</v>
      </c>
    </row>
    <row r="6" spans="1:2" ht="18" thickBot="1">
      <c r="A6" s="4" t="s">
        <v>230</v>
      </c>
      <c r="B6" s="33">
        <v>17</v>
      </c>
    </row>
    <row r="7" spans="1:2" ht="18" thickBot="1">
      <c r="A7" s="4" t="s">
        <v>231</v>
      </c>
      <c r="B7" s="33">
        <v>16</v>
      </c>
    </row>
    <row r="8" spans="1:2" ht="18" thickBot="1">
      <c r="A8" s="4" t="s">
        <v>232</v>
      </c>
      <c r="B8" s="33">
        <v>15</v>
      </c>
    </row>
    <row r="9" spans="1:2" ht="18" thickBot="1">
      <c r="A9" s="4" t="s">
        <v>237</v>
      </c>
      <c r="B9" s="33">
        <v>10</v>
      </c>
    </row>
    <row r="10" spans="1:2" ht="18" thickBot="1">
      <c r="A10" s="4" t="s">
        <v>236</v>
      </c>
      <c r="B10" s="33">
        <v>11</v>
      </c>
    </row>
    <row r="11" spans="1:2" ht="18" thickBot="1">
      <c r="A11" s="4" t="s">
        <v>215</v>
      </c>
      <c r="B11" s="33">
        <v>33</v>
      </c>
    </row>
    <row r="12" spans="1:2" ht="18" thickBot="1">
      <c r="A12" s="4" t="s">
        <v>168</v>
      </c>
      <c r="B12" s="33">
        <v>90</v>
      </c>
    </row>
    <row r="13" spans="1:2" ht="18" thickBot="1">
      <c r="A13" s="4" t="s">
        <v>169</v>
      </c>
      <c r="B13" s="33">
        <v>89</v>
      </c>
    </row>
    <row r="14" spans="1:2" ht="18" thickBot="1">
      <c r="A14" s="4" t="s">
        <v>170</v>
      </c>
      <c r="B14" s="33">
        <v>88</v>
      </c>
    </row>
    <row r="15" spans="1:2" ht="18" thickBot="1">
      <c r="A15" s="4" t="s">
        <v>172</v>
      </c>
      <c r="B15" s="33">
        <v>79</v>
      </c>
    </row>
    <row r="16" spans="1:2" ht="18" thickBot="1">
      <c r="A16" s="4" t="s">
        <v>223</v>
      </c>
      <c r="B16" s="33">
        <v>24</v>
      </c>
    </row>
    <row r="17" spans="1:2" ht="18" thickBot="1">
      <c r="A17" s="4" t="s">
        <v>174</v>
      </c>
      <c r="B17" s="33">
        <v>77</v>
      </c>
    </row>
    <row r="18" spans="1:2" ht="18" thickBot="1">
      <c r="A18" s="4" t="s">
        <v>200</v>
      </c>
      <c r="B18" s="33">
        <v>48</v>
      </c>
    </row>
    <row r="19" spans="1:2" ht="18" thickBot="1">
      <c r="A19" s="4" t="s">
        <v>205</v>
      </c>
      <c r="B19" s="33">
        <v>43</v>
      </c>
    </row>
    <row r="20" spans="1:2" ht="18" thickBot="1">
      <c r="A20" s="4" t="s">
        <v>175</v>
      </c>
      <c r="B20" s="33">
        <v>76</v>
      </c>
    </row>
    <row r="21" spans="1:2" ht="18" thickBot="1">
      <c r="A21" s="36" t="s">
        <v>197</v>
      </c>
      <c r="B21" s="33">
        <v>51</v>
      </c>
    </row>
    <row r="22" spans="1:2" ht="18" thickBot="1">
      <c r="A22" s="4" t="s">
        <v>193</v>
      </c>
      <c r="B22" s="33">
        <v>55</v>
      </c>
    </row>
    <row r="23" spans="1:2" ht="18" thickBot="1">
      <c r="A23" s="4" t="s">
        <v>192</v>
      </c>
      <c r="B23" s="33">
        <v>56</v>
      </c>
    </row>
    <row r="24" spans="1:2" ht="18" thickBot="1">
      <c r="A24" s="4" t="s">
        <v>191</v>
      </c>
      <c r="B24" s="33">
        <v>57</v>
      </c>
    </row>
    <row r="25" spans="1:2" ht="18" thickBot="1">
      <c r="A25" s="4" t="s">
        <v>176</v>
      </c>
      <c r="B25" s="33">
        <v>75</v>
      </c>
    </row>
    <row r="26" spans="1:2" ht="18" thickBot="1">
      <c r="A26" s="4" t="s">
        <v>173</v>
      </c>
      <c r="B26" s="33">
        <v>78</v>
      </c>
    </row>
    <row r="27" spans="1:2" ht="18" thickBot="1">
      <c r="A27" s="4" t="s">
        <v>246</v>
      </c>
      <c r="B27" s="33">
        <v>1</v>
      </c>
    </row>
    <row r="28" spans="1:2" ht="18" thickBot="1">
      <c r="A28" s="4" t="s">
        <v>224</v>
      </c>
      <c r="B28" s="33">
        <v>23</v>
      </c>
    </row>
    <row r="29" spans="1:2" ht="18" thickBot="1">
      <c r="A29" s="36" t="s">
        <v>213</v>
      </c>
      <c r="B29" s="33">
        <v>35</v>
      </c>
    </row>
    <row r="30" spans="1:2" ht="18" thickBot="1">
      <c r="A30" s="4" t="s">
        <v>184</v>
      </c>
      <c r="B30" s="33">
        <v>64</v>
      </c>
    </row>
    <row r="31" spans="1:2" ht="18" thickBot="1">
      <c r="A31" s="4" t="s">
        <v>185</v>
      </c>
      <c r="B31" s="33">
        <v>63</v>
      </c>
    </row>
    <row r="32" spans="1:2" ht="18" thickBot="1">
      <c r="A32" s="4" t="s">
        <v>226</v>
      </c>
      <c r="B32" s="33">
        <v>21</v>
      </c>
    </row>
    <row r="33" spans="1:2" ht="18" thickBot="1">
      <c r="A33" s="4" t="s">
        <v>225</v>
      </c>
      <c r="B33" s="33">
        <v>22</v>
      </c>
    </row>
    <row r="34" spans="1:2" ht="18" thickBot="1">
      <c r="A34" s="4" t="s">
        <v>166</v>
      </c>
      <c r="B34" s="33">
        <v>92</v>
      </c>
    </row>
    <row r="35" spans="1:2" ht="18" thickBot="1">
      <c r="A35" s="4" t="s">
        <v>165</v>
      </c>
      <c r="B35" s="33">
        <v>93</v>
      </c>
    </row>
    <row r="36" spans="1:2" ht="18" thickBot="1">
      <c r="A36" s="4" t="s">
        <v>201</v>
      </c>
      <c r="B36" s="33">
        <v>47</v>
      </c>
    </row>
    <row r="37" spans="1:2" ht="18" thickBot="1">
      <c r="A37" s="36" t="s">
        <v>183</v>
      </c>
      <c r="B37" s="33">
        <v>65</v>
      </c>
    </row>
    <row r="38" spans="1:2" ht="18" thickBot="1">
      <c r="A38" s="4" t="s">
        <v>187</v>
      </c>
      <c r="B38" s="33">
        <v>61</v>
      </c>
    </row>
    <row r="39" spans="1:2" ht="18" thickBot="1">
      <c r="A39" s="4" t="s">
        <v>196</v>
      </c>
      <c r="B39" s="33">
        <v>52</v>
      </c>
    </row>
    <row r="40" spans="1:2" ht="18" thickBot="1">
      <c r="A40" s="36" t="s">
        <v>233</v>
      </c>
      <c r="B40" s="33">
        <v>14</v>
      </c>
    </row>
    <row r="41" spans="1:2" ht="18" thickBot="1">
      <c r="A41" s="4" t="s">
        <v>64</v>
      </c>
      <c r="B41" s="33">
        <v>87</v>
      </c>
    </row>
    <row r="42" spans="1:2" ht="18" thickBot="1">
      <c r="A42" s="4" t="s">
        <v>63</v>
      </c>
      <c r="B42" s="33">
        <v>86</v>
      </c>
    </row>
    <row r="43" spans="1:2" ht="18" thickBot="1">
      <c r="A43" s="4" t="s">
        <v>62</v>
      </c>
      <c r="B43" s="33">
        <v>85</v>
      </c>
    </row>
    <row r="44" spans="1:2" ht="18" thickBot="1">
      <c r="A44" s="4" t="s">
        <v>61</v>
      </c>
      <c r="B44" s="33">
        <v>84</v>
      </c>
    </row>
    <row r="45" spans="1:2" ht="18" thickBot="1">
      <c r="A45" s="4" t="s">
        <v>60</v>
      </c>
      <c r="B45" s="33">
        <v>83</v>
      </c>
    </row>
    <row r="46" spans="1:2" ht="18" thickBot="1">
      <c r="A46" s="4" t="s">
        <v>59</v>
      </c>
      <c r="B46" s="33">
        <v>82</v>
      </c>
    </row>
    <row r="47" spans="1:2" ht="18" thickBot="1">
      <c r="A47" s="4" t="s">
        <v>171</v>
      </c>
      <c r="B47" s="33">
        <v>81</v>
      </c>
    </row>
    <row r="48" spans="1:2" ht="18" thickBot="1">
      <c r="A48" s="4" t="s">
        <v>248</v>
      </c>
      <c r="B48" s="33" t="s">
        <v>247</v>
      </c>
    </row>
    <row r="49" spans="1:2" ht="18" thickBot="1">
      <c r="A49" s="36" t="s">
        <v>162</v>
      </c>
      <c r="B49" s="33">
        <v>97</v>
      </c>
    </row>
    <row r="50" spans="1:2" ht="18" thickBot="1">
      <c r="A50" s="36" t="s">
        <v>214</v>
      </c>
      <c r="B50" s="33">
        <v>34</v>
      </c>
    </row>
    <row r="51" spans="1:2" ht="18" thickBot="1">
      <c r="A51" s="4" t="s">
        <v>208</v>
      </c>
      <c r="B51" s="33">
        <v>40</v>
      </c>
    </row>
    <row r="52" spans="1:2" ht="18" thickBot="1">
      <c r="A52" s="4" t="s">
        <v>204</v>
      </c>
      <c r="B52" s="33">
        <v>44</v>
      </c>
    </row>
    <row r="53" spans="1:2" ht="18" thickBot="1">
      <c r="A53" s="4" t="s">
        <v>203</v>
      </c>
      <c r="B53" s="33">
        <v>45</v>
      </c>
    </row>
    <row r="54" spans="1:2" ht="18" thickBot="1">
      <c r="A54" s="36" t="s">
        <v>199</v>
      </c>
      <c r="B54" s="33">
        <v>49</v>
      </c>
    </row>
    <row r="55" spans="1:2" ht="15" thickBot="1">
      <c r="A55" s="4" t="s">
        <v>164</v>
      </c>
      <c r="B55" s="34">
        <v>94</v>
      </c>
    </row>
    <row r="56" spans="1:2" ht="18" thickBot="1">
      <c r="A56" s="36" t="s">
        <v>163</v>
      </c>
      <c r="B56" s="33">
        <v>95</v>
      </c>
    </row>
    <row r="57" spans="1:2" ht="18" thickBot="1">
      <c r="A57" s="4" t="s">
        <v>202</v>
      </c>
      <c r="B57" s="33">
        <v>46</v>
      </c>
    </row>
    <row r="58" spans="1:2" ht="18" thickBot="1">
      <c r="A58" s="36" t="s">
        <v>198</v>
      </c>
      <c r="B58" s="33">
        <v>50</v>
      </c>
    </row>
    <row r="59" spans="1:2" ht="18" thickBot="1">
      <c r="A59" s="4" t="s">
        <v>186</v>
      </c>
      <c r="B59" s="33">
        <v>62</v>
      </c>
    </row>
    <row r="60" spans="1:2" ht="18" thickBot="1">
      <c r="A60" s="4" t="s">
        <v>189</v>
      </c>
      <c r="B60" s="33">
        <v>59</v>
      </c>
    </row>
    <row r="61" spans="1:2" ht="18" thickBot="1">
      <c r="A61" s="4" t="s">
        <v>190</v>
      </c>
      <c r="B61" s="33">
        <v>58</v>
      </c>
    </row>
    <row r="62" spans="1:2" ht="18" thickBot="1">
      <c r="A62" s="4" t="s">
        <v>195</v>
      </c>
      <c r="B62" s="33">
        <v>53</v>
      </c>
    </row>
    <row r="63" spans="1:2" ht="18" thickBot="1">
      <c r="A63" s="4" t="s">
        <v>221</v>
      </c>
      <c r="B63" s="33">
        <v>26</v>
      </c>
    </row>
    <row r="64" spans="1:2" ht="18" thickBot="1">
      <c r="A64" s="4" t="s">
        <v>220</v>
      </c>
      <c r="B64" s="33">
        <v>28</v>
      </c>
    </row>
    <row r="65" spans="1:2" ht="18" thickBot="1">
      <c r="A65" s="4" t="s">
        <v>219</v>
      </c>
      <c r="B65" s="33">
        <v>29</v>
      </c>
    </row>
    <row r="66" spans="1:2" ht="18" thickBot="1">
      <c r="A66" s="4" t="s">
        <v>218</v>
      </c>
      <c r="B66" s="33">
        <v>30</v>
      </c>
    </row>
    <row r="67" spans="1:2" ht="18" thickBot="1">
      <c r="A67" s="4" t="s">
        <v>235</v>
      </c>
      <c r="B67" s="33">
        <v>12</v>
      </c>
    </row>
    <row r="68" spans="1:2" ht="18" thickBot="1">
      <c r="A68" s="4" t="s">
        <v>188</v>
      </c>
      <c r="B68" s="33">
        <v>60</v>
      </c>
    </row>
    <row r="69" spans="1:2" ht="18" thickBot="1">
      <c r="A69" s="4" t="s">
        <v>228</v>
      </c>
      <c r="B69" s="33">
        <v>19</v>
      </c>
    </row>
    <row r="70" spans="1:2" ht="18" thickBot="1">
      <c r="A70" s="36" t="s">
        <v>161</v>
      </c>
      <c r="B70" s="33">
        <v>99</v>
      </c>
    </row>
    <row r="71" spans="1:2" ht="18" thickBot="1">
      <c r="A71" s="4" t="s">
        <v>211</v>
      </c>
      <c r="B71" s="33">
        <v>37</v>
      </c>
    </row>
    <row r="72" spans="1:2" ht="18" thickBot="1">
      <c r="A72" s="4" t="s">
        <v>212</v>
      </c>
      <c r="B72" s="33">
        <v>36</v>
      </c>
    </row>
    <row r="73" spans="1:2" ht="18" thickBot="1">
      <c r="A73" s="4" t="s">
        <v>167</v>
      </c>
      <c r="B73" s="33">
        <v>91</v>
      </c>
    </row>
    <row r="74" spans="1:2" ht="18" thickBot="1">
      <c r="A74" s="4" t="s">
        <v>209</v>
      </c>
      <c r="B74" s="33">
        <v>39</v>
      </c>
    </row>
    <row r="75" spans="1:2" ht="18" thickBot="1">
      <c r="A75" s="4" t="s">
        <v>207</v>
      </c>
      <c r="B75" s="33">
        <v>41</v>
      </c>
    </row>
    <row r="76" spans="1:2" ht="18" thickBot="1">
      <c r="A76" s="4" t="s">
        <v>229</v>
      </c>
      <c r="B76" s="33">
        <v>18</v>
      </c>
    </row>
    <row r="77" spans="1:2" ht="18" thickBot="1">
      <c r="A77" s="4" t="s">
        <v>241</v>
      </c>
      <c r="B77" s="33">
        <v>6</v>
      </c>
    </row>
    <row r="78" spans="1:2" ht="18" thickBot="1">
      <c r="A78" s="4" t="s">
        <v>240</v>
      </c>
      <c r="B78" s="33">
        <v>7</v>
      </c>
    </row>
    <row r="79" spans="1:2" ht="18" thickBot="1">
      <c r="A79" s="4" t="s">
        <v>245</v>
      </c>
      <c r="B79" s="33">
        <v>2</v>
      </c>
    </row>
    <row r="80" spans="1:2" ht="18" thickBot="1">
      <c r="A80" s="4" t="s">
        <v>194</v>
      </c>
      <c r="B80" s="33">
        <v>54</v>
      </c>
    </row>
    <row r="81" spans="1:2" ht="18" thickBot="1">
      <c r="A81" s="4" t="s">
        <v>177</v>
      </c>
      <c r="B81" s="33">
        <v>71</v>
      </c>
    </row>
    <row r="82" spans="1:2" ht="18" thickBot="1">
      <c r="A82" s="4" t="s">
        <v>178</v>
      </c>
      <c r="B82" s="33">
        <v>70</v>
      </c>
    </row>
    <row r="83" spans="1:2" ht="18" thickBot="1">
      <c r="A83" s="4" t="s">
        <v>179</v>
      </c>
      <c r="B83" s="33">
        <v>69</v>
      </c>
    </row>
    <row r="84" spans="1:2" ht="18" thickBot="1">
      <c r="A84" s="4" t="s">
        <v>180</v>
      </c>
      <c r="B84" s="33">
        <v>68</v>
      </c>
    </row>
    <row r="85" spans="1:2" ht="18" thickBot="1">
      <c r="A85" s="36" t="s">
        <v>181</v>
      </c>
      <c r="B85" s="33">
        <v>67</v>
      </c>
    </row>
    <row r="86" spans="1:2" ht="18" thickBot="1">
      <c r="A86" s="36" t="s">
        <v>182</v>
      </c>
      <c r="B86" s="33">
        <v>66</v>
      </c>
    </row>
    <row r="87" spans="1:2" ht="18" thickBot="1">
      <c r="A87" s="4" t="s">
        <v>206</v>
      </c>
      <c r="B87" s="33">
        <v>42</v>
      </c>
    </row>
    <row r="88" spans="1:2" ht="18" thickBot="1">
      <c r="A88" s="4" t="s">
        <v>222</v>
      </c>
      <c r="B88" s="33">
        <v>25</v>
      </c>
    </row>
    <row r="89" spans="1:2" ht="17.25">
      <c r="A89" s="4" t="s">
        <v>227</v>
      </c>
      <c r="B89" s="33">
        <v>20</v>
      </c>
    </row>
    <row r="90" spans="1:2" ht="18" thickBot="1">
      <c r="A90" s="4" t="s">
        <v>217</v>
      </c>
      <c r="B90" s="35">
        <v>31</v>
      </c>
    </row>
    <row r="91" spans="1:2" ht="18" thickBot="1">
      <c r="A91" s="4" t="s">
        <v>243</v>
      </c>
      <c r="B91" s="33">
        <v>4</v>
      </c>
    </row>
    <row r="92" spans="1:2" ht="18" thickBot="1">
      <c r="A92" s="4" t="s">
        <v>216</v>
      </c>
      <c r="B92" s="33">
        <v>32</v>
      </c>
    </row>
    <row r="93" spans="1:2" ht="17.25">
      <c r="A93" s="4" t="s">
        <v>242</v>
      </c>
      <c r="B93" s="33">
        <v>5</v>
      </c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25" zoomScaleNormal="100" workbookViewId="0">
      <selection activeCell="I46" sqref="I46"/>
    </sheetView>
  </sheetViews>
  <sheetFormatPr defaultRowHeight="13.5"/>
  <cols>
    <col min="7" max="7" width="9.21875" bestFit="1" customWidth="1"/>
  </cols>
  <sheetData>
    <row r="1" spans="1:9">
      <c r="C1" t="s">
        <v>255</v>
      </c>
      <c r="D1" t="s">
        <v>256</v>
      </c>
      <c r="H1" t="s">
        <v>255</v>
      </c>
      <c r="I1" t="s">
        <v>256</v>
      </c>
    </row>
    <row r="2" spans="1:9">
      <c r="A2" t="s">
        <v>259</v>
      </c>
      <c r="B2" t="s">
        <v>250</v>
      </c>
      <c r="F2" t="s">
        <v>260</v>
      </c>
      <c r="G2" t="s">
        <v>250</v>
      </c>
    </row>
    <row r="3" spans="1:9">
      <c r="B3" s="40" t="s">
        <v>152</v>
      </c>
      <c r="C3">
        <f>15557+16865</f>
        <v>32422</v>
      </c>
      <c r="D3">
        <f>511+1</f>
        <v>512</v>
      </c>
      <c r="G3" s="40">
        <v>4</v>
      </c>
      <c r="H3">
        <v>0</v>
      </c>
      <c r="I3">
        <v>0</v>
      </c>
    </row>
    <row r="4" spans="1:9">
      <c r="B4" s="40" t="s">
        <v>153</v>
      </c>
      <c r="C4">
        <f>37267+37273</f>
        <v>74540</v>
      </c>
      <c r="D4">
        <f>849+7</f>
        <v>856</v>
      </c>
      <c r="G4" s="16">
        <v>5</v>
      </c>
      <c r="H4">
        <f>799+121</f>
        <v>920</v>
      </c>
      <c r="I4">
        <v>0</v>
      </c>
    </row>
    <row r="5" spans="1:9">
      <c r="B5" s="40">
        <v>2</v>
      </c>
      <c r="C5">
        <v>0</v>
      </c>
      <c r="G5" s="40">
        <v>14</v>
      </c>
      <c r="H5">
        <f>43058+44065</f>
        <v>87123</v>
      </c>
      <c r="I5">
        <v>112</v>
      </c>
    </row>
    <row r="6" spans="1:9">
      <c r="B6" s="40">
        <v>3</v>
      </c>
      <c r="C6">
        <v>0</v>
      </c>
      <c r="G6" s="40">
        <v>15</v>
      </c>
      <c r="H6">
        <f>52575+58717</f>
        <v>111292</v>
      </c>
      <c r="I6">
        <f>1110+21</f>
        <v>1131</v>
      </c>
    </row>
    <row r="7" spans="1:9" ht="14.25" thickBot="1">
      <c r="B7" s="40">
        <v>6</v>
      </c>
      <c r="C7">
        <f>7710+6861</f>
        <v>14571</v>
      </c>
      <c r="D7">
        <v>229</v>
      </c>
      <c r="G7" s="39">
        <v>16</v>
      </c>
      <c r="H7">
        <f>2949+5462</f>
        <v>8411</v>
      </c>
      <c r="I7">
        <v>2</v>
      </c>
    </row>
    <row r="8" spans="1:9">
      <c r="B8" s="40">
        <v>7</v>
      </c>
      <c r="C8">
        <f>76242+64523</f>
        <v>140765</v>
      </c>
      <c r="D8">
        <f>238+933</f>
        <v>1171</v>
      </c>
      <c r="G8" t="s">
        <v>251</v>
      </c>
    </row>
    <row r="9" spans="1:9">
      <c r="B9" s="40">
        <v>8</v>
      </c>
      <c r="C9">
        <f>79532+84077</f>
        <v>163609</v>
      </c>
      <c r="D9">
        <f>701+299</f>
        <v>1000</v>
      </c>
      <c r="G9" s="23">
        <v>1</v>
      </c>
      <c r="H9">
        <v>0</v>
      </c>
      <c r="I9">
        <v>0</v>
      </c>
    </row>
    <row r="10" spans="1:9">
      <c r="B10" s="40">
        <v>9</v>
      </c>
      <c r="C10">
        <v>0</v>
      </c>
      <c r="D10">
        <v>0</v>
      </c>
      <c r="G10" s="23">
        <v>2</v>
      </c>
      <c r="H10">
        <v>0</v>
      </c>
      <c r="I10">
        <v>0</v>
      </c>
    </row>
    <row r="11" spans="1:9">
      <c r="B11" s="40">
        <v>10</v>
      </c>
      <c r="C11">
        <f>2+2</f>
        <v>4</v>
      </c>
      <c r="D11">
        <v>0</v>
      </c>
      <c r="G11" s="23">
        <v>3</v>
      </c>
      <c r="H11">
        <v>0</v>
      </c>
      <c r="I11">
        <v>0</v>
      </c>
    </row>
    <row r="12" spans="1:9">
      <c r="B12" s="40">
        <v>11</v>
      </c>
      <c r="C12">
        <f>253+238</f>
        <v>491</v>
      </c>
      <c r="D12">
        <v>0</v>
      </c>
      <c r="G12" t="s">
        <v>257</v>
      </c>
    </row>
    <row r="13" spans="1:9">
      <c r="B13" s="40">
        <v>12</v>
      </c>
      <c r="C13">
        <f>761+758</f>
        <v>1519</v>
      </c>
      <c r="D13">
        <v>0</v>
      </c>
      <c r="G13" s="22">
        <v>2</v>
      </c>
      <c r="H13">
        <v>0</v>
      </c>
      <c r="I13">
        <v>0</v>
      </c>
    </row>
    <row r="14" spans="1:9">
      <c r="B14" s="40">
        <v>13</v>
      </c>
      <c r="C14">
        <v>0</v>
      </c>
      <c r="D14">
        <v>0</v>
      </c>
      <c r="G14" s="22">
        <v>3</v>
      </c>
      <c r="H14">
        <v>0</v>
      </c>
      <c r="I14">
        <v>0</v>
      </c>
    </row>
    <row r="15" spans="1:9">
      <c r="B15" s="16" t="s">
        <v>20</v>
      </c>
      <c r="C15">
        <v>0</v>
      </c>
      <c r="D15">
        <v>0</v>
      </c>
      <c r="G15" s="22">
        <v>4</v>
      </c>
      <c r="H15">
        <v>0</v>
      </c>
      <c r="I15">
        <v>0</v>
      </c>
    </row>
    <row r="16" spans="1:9" ht="24.75" thickBot="1">
      <c r="B16" s="39" t="s">
        <v>261</v>
      </c>
      <c r="C16">
        <v>0</v>
      </c>
      <c r="D16">
        <v>0</v>
      </c>
      <c r="G16" s="22">
        <v>5</v>
      </c>
      <c r="H16">
        <v>0</v>
      </c>
      <c r="I16">
        <v>0</v>
      </c>
    </row>
    <row r="17" spans="2:9">
      <c r="B17" t="s">
        <v>251</v>
      </c>
      <c r="G17" s="22">
        <v>6</v>
      </c>
      <c r="H17">
        <v>0</v>
      </c>
      <c r="I17">
        <v>0</v>
      </c>
    </row>
    <row r="18" spans="2:9" ht="14.25" thickBot="1">
      <c r="B18" s="40">
        <v>4</v>
      </c>
      <c r="C18">
        <v>0</v>
      </c>
      <c r="D18">
        <v>0</v>
      </c>
      <c r="G18" s="27">
        <v>9</v>
      </c>
      <c r="H18">
        <v>0</v>
      </c>
      <c r="I18">
        <v>0</v>
      </c>
    </row>
    <row r="19" spans="2:9">
      <c r="B19" s="40">
        <v>5</v>
      </c>
      <c r="C19">
        <v>0</v>
      </c>
      <c r="D19">
        <v>0</v>
      </c>
      <c r="G19" t="s">
        <v>253</v>
      </c>
    </row>
    <row r="20" spans="2:9">
      <c r="B20" s="40">
        <v>6</v>
      </c>
      <c r="C20">
        <v>0</v>
      </c>
      <c r="D20">
        <v>0</v>
      </c>
      <c r="G20" s="40">
        <v>1</v>
      </c>
      <c r="H20">
        <v>0</v>
      </c>
      <c r="I20">
        <v>0</v>
      </c>
    </row>
    <row r="21" spans="2:9">
      <c r="B21" s="16">
        <v>7</v>
      </c>
      <c r="C21">
        <v>0</v>
      </c>
      <c r="D21">
        <v>0</v>
      </c>
      <c r="G21" s="40">
        <v>2</v>
      </c>
      <c r="H21">
        <v>0</v>
      </c>
      <c r="I21">
        <v>0</v>
      </c>
    </row>
    <row r="22" spans="2:9">
      <c r="B22" s="40">
        <v>8</v>
      </c>
      <c r="C22">
        <v>0</v>
      </c>
      <c r="D22">
        <v>0</v>
      </c>
      <c r="G22" s="40">
        <v>3</v>
      </c>
      <c r="H22">
        <v>0</v>
      </c>
      <c r="I22">
        <v>0</v>
      </c>
    </row>
    <row r="23" spans="2:9" ht="14.25" thickBot="1">
      <c r="B23" s="27">
        <v>9</v>
      </c>
      <c r="C23">
        <v>0</v>
      </c>
      <c r="D23">
        <v>0</v>
      </c>
      <c r="G23" s="40">
        <v>4</v>
      </c>
      <c r="H23">
        <v>0</v>
      </c>
      <c r="I23">
        <v>0</v>
      </c>
    </row>
    <row r="24" spans="2:9">
      <c r="B24" t="s">
        <v>252</v>
      </c>
      <c r="G24" s="40">
        <v>5</v>
      </c>
      <c r="H24">
        <v>0</v>
      </c>
      <c r="I24">
        <v>0</v>
      </c>
    </row>
    <row r="25" spans="2:9">
      <c r="B25" s="23">
        <v>1</v>
      </c>
      <c r="C25">
        <v>0</v>
      </c>
      <c r="D25">
        <v>0</v>
      </c>
      <c r="G25" s="40">
        <v>6</v>
      </c>
      <c r="H25">
        <v>0</v>
      </c>
      <c r="I25">
        <v>0</v>
      </c>
    </row>
    <row r="26" spans="2:9">
      <c r="B26" s="23">
        <v>7</v>
      </c>
      <c r="C26">
        <v>0</v>
      </c>
      <c r="D26">
        <v>0</v>
      </c>
      <c r="G26" s="40">
        <v>7</v>
      </c>
      <c r="H26">
        <v>0</v>
      </c>
      <c r="I26">
        <v>0</v>
      </c>
    </row>
    <row r="27" spans="2:9">
      <c r="B27" s="23">
        <v>8</v>
      </c>
      <c r="C27">
        <v>0</v>
      </c>
      <c r="D27">
        <v>0</v>
      </c>
      <c r="G27" s="40">
        <v>8</v>
      </c>
      <c r="H27">
        <v>0</v>
      </c>
      <c r="I27">
        <v>0</v>
      </c>
    </row>
    <row r="28" spans="2:9">
      <c r="B28" t="s">
        <v>253</v>
      </c>
      <c r="G28" s="40">
        <v>12</v>
      </c>
      <c r="H28">
        <v>0</v>
      </c>
      <c r="I28">
        <v>0</v>
      </c>
    </row>
    <row r="29" spans="2:9" ht="14.25" thickBot="1">
      <c r="B29" s="23">
        <v>9</v>
      </c>
      <c r="C29">
        <v>0</v>
      </c>
      <c r="D29">
        <v>0</v>
      </c>
      <c r="G29" s="32" t="s">
        <v>158</v>
      </c>
      <c r="H29">
        <v>0</v>
      </c>
      <c r="I29">
        <v>0</v>
      </c>
    </row>
    <row r="30" spans="2:9">
      <c r="B30" s="23">
        <v>10</v>
      </c>
      <c r="C30">
        <v>0</v>
      </c>
      <c r="D30">
        <v>0</v>
      </c>
      <c r="G30" t="s">
        <v>254</v>
      </c>
    </row>
    <row r="31" spans="2:9">
      <c r="B31" s="23">
        <v>11</v>
      </c>
      <c r="C31">
        <v>0</v>
      </c>
      <c r="D31">
        <v>0</v>
      </c>
      <c r="G31" s="7" t="s">
        <v>121</v>
      </c>
      <c r="H31">
        <v>0</v>
      </c>
      <c r="I31">
        <v>0</v>
      </c>
    </row>
    <row r="32" spans="2:9">
      <c r="B32" t="s">
        <v>254</v>
      </c>
      <c r="G32" s="7" t="s">
        <v>124</v>
      </c>
      <c r="H32">
        <v>0</v>
      </c>
      <c r="I32">
        <v>0</v>
      </c>
    </row>
    <row r="33" spans="2:9" ht="14.25" thickBot="1">
      <c r="B33" s="39" t="s">
        <v>115</v>
      </c>
      <c r="C33">
        <v>0</v>
      </c>
      <c r="D33">
        <v>0</v>
      </c>
      <c r="G33" s="7" t="s">
        <v>126</v>
      </c>
      <c r="H33">
        <v>0</v>
      </c>
      <c r="I33">
        <v>0</v>
      </c>
    </row>
    <row r="34" spans="2:9">
      <c r="G34" s="7" t="s">
        <v>128</v>
      </c>
      <c r="H34">
        <v>0</v>
      </c>
      <c r="I34">
        <v>0</v>
      </c>
    </row>
    <row r="35" spans="2:9">
      <c r="G35" s="7" t="s">
        <v>131</v>
      </c>
      <c r="H35">
        <v>0</v>
      </c>
      <c r="I35">
        <v>0</v>
      </c>
    </row>
    <row r="36" spans="2:9">
      <c r="B36" s="42" t="s">
        <v>15</v>
      </c>
      <c r="C36" s="42">
        <f>SUM(C3:C33)</f>
        <v>427921</v>
      </c>
      <c r="D36" s="42">
        <f>SUM(D3:D33)</f>
        <v>3768</v>
      </c>
      <c r="G36" s="7" t="s">
        <v>118</v>
      </c>
      <c r="H36">
        <v>0</v>
      </c>
      <c r="I36">
        <v>0</v>
      </c>
    </row>
    <row r="37" spans="2:9" ht="14.25" thickBot="1">
      <c r="G37" s="8" t="s">
        <v>262</v>
      </c>
      <c r="H37">
        <v>0</v>
      </c>
    </row>
    <row r="38" spans="2:9">
      <c r="G38" s="41" t="s">
        <v>258</v>
      </c>
    </row>
    <row r="39" spans="2:9">
      <c r="G39" s="7" t="s">
        <v>133</v>
      </c>
      <c r="H39">
        <v>0</v>
      </c>
      <c r="I39">
        <v>0</v>
      </c>
    </row>
    <row r="40" spans="2:9">
      <c r="G40" s="7" t="s">
        <v>59</v>
      </c>
      <c r="H40">
        <v>0</v>
      </c>
      <c r="I40">
        <v>0</v>
      </c>
    </row>
    <row r="41" spans="2:9">
      <c r="G41" s="7" t="s">
        <v>60</v>
      </c>
      <c r="H41">
        <v>0</v>
      </c>
      <c r="I41">
        <v>0</v>
      </c>
    </row>
    <row r="42" spans="2:9">
      <c r="G42" s="7" t="s">
        <v>61</v>
      </c>
      <c r="H42">
        <v>0</v>
      </c>
      <c r="I42">
        <v>0</v>
      </c>
    </row>
    <row r="43" spans="2:9">
      <c r="G43" s="7" t="s">
        <v>62</v>
      </c>
      <c r="H43">
        <v>0</v>
      </c>
      <c r="I43">
        <v>0</v>
      </c>
    </row>
    <row r="44" spans="2:9">
      <c r="G44" s="7" t="s">
        <v>63</v>
      </c>
      <c r="H44">
        <v>0</v>
      </c>
      <c r="I44">
        <v>0</v>
      </c>
    </row>
    <row r="45" spans="2:9" ht="14.25" thickBot="1">
      <c r="G45" s="8" t="s">
        <v>64</v>
      </c>
      <c r="H45">
        <v>0</v>
      </c>
      <c r="I45">
        <v>0</v>
      </c>
    </row>
    <row r="47" spans="2:9">
      <c r="G47" s="43" t="s">
        <v>15</v>
      </c>
      <c r="H47" s="44">
        <f>SUM(H3:H45)</f>
        <v>207746</v>
      </c>
      <c r="I47" s="44">
        <f>SUM(I3:I45)</f>
        <v>1245</v>
      </c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24" workbookViewId="0">
      <selection activeCell="H53" sqref="H53"/>
    </sheetView>
  </sheetViews>
  <sheetFormatPr defaultRowHeight="13.5"/>
  <sheetData>
    <row r="1" spans="1:9">
      <c r="C1" t="s">
        <v>255</v>
      </c>
      <c r="D1" t="s">
        <v>256</v>
      </c>
      <c r="H1" t="s">
        <v>255</v>
      </c>
      <c r="I1" t="s">
        <v>256</v>
      </c>
    </row>
    <row r="2" spans="1:9">
      <c r="A2" t="s">
        <v>259</v>
      </c>
      <c r="B2" t="s">
        <v>250</v>
      </c>
      <c r="F2" t="s">
        <v>260</v>
      </c>
      <c r="G2" t="s">
        <v>250</v>
      </c>
    </row>
    <row r="3" spans="1:9">
      <c r="B3" s="40" t="s">
        <v>152</v>
      </c>
      <c r="C3">
        <f>11502+12634</f>
        <v>24136</v>
      </c>
      <c r="D3">
        <f>1133+4</f>
        <v>1137</v>
      </c>
      <c r="G3" s="40">
        <v>4</v>
      </c>
      <c r="H3">
        <v>0</v>
      </c>
      <c r="I3">
        <v>0</v>
      </c>
    </row>
    <row r="4" spans="1:9">
      <c r="B4" s="40" t="s">
        <v>153</v>
      </c>
      <c r="C4">
        <f>27063+27824</f>
        <v>54887</v>
      </c>
      <c r="D4">
        <f>1133+12</f>
        <v>1145</v>
      </c>
      <c r="G4" s="16">
        <v>5</v>
      </c>
      <c r="H4">
        <f>793+517</f>
        <v>1310</v>
      </c>
      <c r="I4">
        <v>0</v>
      </c>
    </row>
    <row r="5" spans="1:9">
      <c r="B5" s="40">
        <v>2</v>
      </c>
      <c r="C5">
        <v>0</v>
      </c>
      <c r="D5">
        <v>0</v>
      </c>
      <c r="G5" s="40">
        <v>14</v>
      </c>
      <c r="H5">
        <f>48694+44967</f>
        <v>93661</v>
      </c>
      <c r="I5">
        <f>95+21</f>
        <v>116</v>
      </c>
    </row>
    <row r="6" spans="1:9">
      <c r="B6" s="40">
        <v>3</v>
      </c>
      <c r="C6">
        <v>0</v>
      </c>
      <c r="D6">
        <v>0</v>
      </c>
      <c r="G6" s="40">
        <v>15</v>
      </c>
      <c r="H6">
        <f>64745+63468</f>
        <v>128213</v>
      </c>
      <c r="I6">
        <f>563+1</f>
        <v>564</v>
      </c>
    </row>
    <row r="7" spans="1:9" ht="14.25" thickBot="1">
      <c r="B7" s="40">
        <v>6</v>
      </c>
      <c r="C7">
        <f>3882+2727</f>
        <v>6609</v>
      </c>
      <c r="D7">
        <f>3+11</f>
        <v>14</v>
      </c>
      <c r="G7" s="39">
        <v>16</v>
      </c>
      <c r="H7">
        <f>9824+16992</f>
        <v>26816</v>
      </c>
      <c r="I7">
        <f>6</f>
        <v>6</v>
      </c>
    </row>
    <row r="8" spans="1:9">
      <c r="B8" s="40">
        <v>7</v>
      </c>
      <c r="C8">
        <f>102998+89466</f>
        <v>192464</v>
      </c>
      <c r="D8">
        <f>611+581</f>
        <v>1192</v>
      </c>
      <c r="G8" t="s">
        <v>251</v>
      </c>
    </row>
    <row r="9" spans="1:9">
      <c r="B9" s="40">
        <v>8</v>
      </c>
      <c r="C9">
        <f>75777+78367</f>
        <v>154144</v>
      </c>
      <c r="D9">
        <f>751+584</f>
        <v>1335</v>
      </c>
      <c r="G9" s="23">
        <v>1</v>
      </c>
      <c r="H9">
        <v>0</v>
      </c>
      <c r="I9">
        <v>0</v>
      </c>
    </row>
    <row r="10" spans="1:9">
      <c r="B10" s="40">
        <v>9</v>
      </c>
      <c r="C10">
        <v>0</v>
      </c>
      <c r="D10">
        <v>0</v>
      </c>
      <c r="G10" s="23">
        <v>2</v>
      </c>
      <c r="H10">
        <v>0</v>
      </c>
      <c r="I10">
        <v>0</v>
      </c>
    </row>
    <row r="11" spans="1:9">
      <c r="B11" s="40">
        <v>10</v>
      </c>
      <c r="C11">
        <f>146+48</f>
        <v>194</v>
      </c>
      <c r="D11">
        <v>0</v>
      </c>
      <c r="G11" s="23">
        <v>3</v>
      </c>
      <c r="H11">
        <v>0</v>
      </c>
      <c r="I11">
        <v>0</v>
      </c>
    </row>
    <row r="12" spans="1:9">
      <c r="B12" s="40">
        <v>11</v>
      </c>
      <c r="C12">
        <f>184+224</f>
        <v>408</v>
      </c>
      <c r="D12">
        <v>0</v>
      </c>
      <c r="G12" t="s">
        <v>257</v>
      </c>
    </row>
    <row r="13" spans="1:9">
      <c r="B13" s="40">
        <v>12</v>
      </c>
      <c r="C13">
        <f>747+754</f>
        <v>1501</v>
      </c>
      <c r="D13">
        <v>0</v>
      </c>
      <c r="G13" s="22">
        <v>2</v>
      </c>
      <c r="H13">
        <v>0</v>
      </c>
      <c r="I13">
        <v>0</v>
      </c>
    </row>
    <row r="14" spans="1:9">
      <c r="B14" s="40">
        <v>13</v>
      </c>
      <c r="C14">
        <v>0</v>
      </c>
      <c r="D14">
        <v>0</v>
      </c>
      <c r="G14" s="22">
        <v>3</v>
      </c>
      <c r="H14">
        <v>0</v>
      </c>
      <c r="I14">
        <v>0</v>
      </c>
    </row>
    <row r="15" spans="1:9">
      <c r="B15" s="16" t="s">
        <v>20</v>
      </c>
      <c r="C15">
        <v>0</v>
      </c>
      <c r="D15">
        <v>0</v>
      </c>
      <c r="G15" s="22">
        <v>4</v>
      </c>
      <c r="H15">
        <v>0</v>
      </c>
      <c r="I15">
        <v>0</v>
      </c>
    </row>
    <row r="16" spans="1:9" ht="24.75" thickBot="1">
      <c r="B16" s="39" t="s">
        <v>261</v>
      </c>
      <c r="C16">
        <v>0</v>
      </c>
      <c r="D16">
        <v>0</v>
      </c>
      <c r="G16" s="22">
        <v>5</v>
      </c>
      <c r="H16">
        <v>0</v>
      </c>
      <c r="I16">
        <v>0</v>
      </c>
    </row>
    <row r="17" spans="2:9">
      <c r="B17" t="s">
        <v>251</v>
      </c>
      <c r="G17" s="22">
        <v>6</v>
      </c>
      <c r="H17">
        <v>0</v>
      </c>
      <c r="I17">
        <v>0</v>
      </c>
    </row>
    <row r="18" spans="2:9" ht="14.25" thickBot="1">
      <c r="B18" s="40">
        <v>4</v>
      </c>
      <c r="C18">
        <v>0</v>
      </c>
      <c r="D18">
        <v>0</v>
      </c>
      <c r="G18" s="27">
        <v>9</v>
      </c>
      <c r="H18">
        <v>0</v>
      </c>
      <c r="I18">
        <v>0</v>
      </c>
    </row>
    <row r="19" spans="2:9">
      <c r="B19" s="40">
        <v>5</v>
      </c>
      <c r="C19">
        <v>0</v>
      </c>
      <c r="D19">
        <v>0</v>
      </c>
      <c r="G19" t="s">
        <v>253</v>
      </c>
    </row>
    <row r="20" spans="2:9">
      <c r="B20" s="40">
        <v>6</v>
      </c>
      <c r="C20">
        <v>0</v>
      </c>
      <c r="D20">
        <v>0</v>
      </c>
      <c r="G20" s="40">
        <v>1</v>
      </c>
      <c r="H20">
        <v>0</v>
      </c>
      <c r="I20">
        <v>0</v>
      </c>
    </row>
    <row r="21" spans="2:9">
      <c r="B21" s="16">
        <v>7</v>
      </c>
      <c r="C21">
        <v>0</v>
      </c>
      <c r="D21">
        <v>0</v>
      </c>
      <c r="G21" s="40">
        <v>2</v>
      </c>
      <c r="H21">
        <v>0</v>
      </c>
      <c r="I21">
        <v>0</v>
      </c>
    </row>
    <row r="22" spans="2:9">
      <c r="B22" s="40">
        <v>8</v>
      </c>
      <c r="C22">
        <v>0</v>
      </c>
      <c r="D22">
        <v>0</v>
      </c>
      <c r="G22" s="40">
        <v>3</v>
      </c>
      <c r="H22">
        <v>0</v>
      </c>
      <c r="I22">
        <v>0</v>
      </c>
    </row>
    <row r="23" spans="2:9" ht="14.25" thickBot="1">
      <c r="B23" s="27">
        <v>9</v>
      </c>
      <c r="C23">
        <v>0</v>
      </c>
      <c r="D23">
        <v>0</v>
      </c>
      <c r="G23" s="40">
        <v>4</v>
      </c>
      <c r="H23">
        <v>0</v>
      </c>
      <c r="I23">
        <v>0</v>
      </c>
    </row>
    <row r="24" spans="2:9">
      <c r="B24" t="s">
        <v>252</v>
      </c>
      <c r="G24" s="40">
        <v>5</v>
      </c>
      <c r="H24">
        <v>0</v>
      </c>
      <c r="I24">
        <v>0</v>
      </c>
    </row>
    <row r="25" spans="2:9">
      <c r="B25" s="23">
        <v>1</v>
      </c>
      <c r="C25">
        <v>0</v>
      </c>
      <c r="D25">
        <v>0</v>
      </c>
      <c r="G25" s="40">
        <v>6</v>
      </c>
      <c r="H25">
        <v>0</v>
      </c>
      <c r="I25">
        <v>0</v>
      </c>
    </row>
    <row r="26" spans="2:9">
      <c r="B26" s="23">
        <v>7</v>
      </c>
      <c r="C26">
        <v>0</v>
      </c>
      <c r="D26">
        <v>0</v>
      </c>
      <c r="G26" s="40">
        <v>7</v>
      </c>
      <c r="H26">
        <v>0</v>
      </c>
      <c r="I26">
        <v>0</v>
      </c>
    </row>
    <row r="27" spans="2:9">
      <c r="B27" s="23">
        <v>8</v>
      </c>
      <c r="C27">
        <v>0</v>
      </c>
      <c r="D27">
        <v>0</v>
      </c>
      <c r="G27" s="40">
        <v>8</v>
      </c>
      <c r="H27">
        <v>0</v>
      </c>
      <c r="I27">
        <v>0</v>
      </c>
    </row>
    <row r="28" spans="2:9">
      <c r="B28" t="s">
        <v>253</v>
      </c>
      <c r="G28" s="40">
        <v>12</v>
      </c>
      <c r="H28">
        <v>0</v>
      </c>
      <c r="I28">
        <v>0</v>
      </c>
    </row>
    <row r="29" spans="2:9" ht="14.25" thickBot="1">
      <c r="B29" s="23">
        <v>9</v>
      </c>
      <c r="C29">
        <v>0</v>
      </c>
      <c r="D29">
        <v>0</v>
      </c>
      <c r="G29" s="32" t="s">
        <v>158</v>
      </c>
      <c r="H29">
        <v>0</v>
      </c>
      <c r="I29">
        <v>0</v>
      </c>
    </row>
    <row r="30" spans="2:9">
      <c r="B30" s="23">
        <v>10</v>
      </c>
      <c r="C30">
        <v>0</v>
      </c>
      <c r="D30">
        <v>0</v>
      </c>
      <c r="G30" t="s">
        <v>254</v>
      </c>
    </row>
    <row r="31" spans="2:9">
      <c r="B31" s="23">
        <v>11</v>
      </c>
      <c r="C31">
        <v>0</v>
      </c>
      <c r="D31">
        <v>0</v>
      </c>
      <c r="G31" s="7" t="s">
        <v>121</v>
      </c>
      <c r="H31">
        <v>0</v>
      </c>
      <c r="I31">
        <v>0</v>
      </c>
    </row>
    <row r="32" spans="2:9">
      <c r="B32" t="s">
        <v>254</v>
      </c>
      <c r="G32" s="7" t="s">
        <v>124</v>
      </c>
      <c r="H32">
        <v>0</v>
      </c>
      <c r="I32">
        <v>0</v>
      </c>
    </row>
    <row r="33" spans="2:10" ht="14.25" thickBot="1">
      <c r="B33" s="39" t="s">
        <v>115</v>
      </c>
      <c r="C33">
        <v>0</v>
      </c>
      <c r="D33">
        <v>0</v>
      </c>
      <c r="G33" s="7" t="s">
        <v>126</v>
      </c>
      <c r="H33">
        <v>0</v>
      </c>
      <c r="I33">
        <v>0</v>
      </c>
    </row>
    <row r="34" spans="2:10">
      <c r="G34" s="7" t="s">
        <v>128</v>
      </c>
      <c r="H34">
        <v>0</v>
      </c>
      <c r="I34">
        <v>0</v>
      </c>
    </row>
    <row r="35" spans="2:10">
      <c r="G35" s="7" t="s">
        <v>131</v>
      </c>
      <c r="H35">
        <v>0</v>
      </c>
      <c r="I35">
        <v>0</v>
      </c>
    </row>
    <row r="36" spans="2:10">
      <c r="B36" s="42" t="s">
        <v>15</v>
      </c>
      <c r="C36" s="42">
        <f>SUM(C3:C33)</f>
        <v>434343</v>
      </c>
      <c r="D36" s="42">
        <f>SUM(D3:D33)</f>
        <v>4823</v>
      </c>
      <c r="E36">
        <f>SUM(C36:D36)</f>
        <v>439166</v>
      </c>
      <c r="G36" s="7" t="s">
        <v>118</v>
      </c>
      <c r="H36">
        <v>0</v>
      </c>
      <c r="I36">
        <v>0</v>
      </c>
    </row>
    <row r="37" spans="2:10" ht="14.25" thickBot="1">
      <c r="G37" s="8" t="s">
        <v>262</v>
      </c>
    </row>
    <row r="38" spans="2:10">
      <c r="G38" s="41" t="s">
        <v>258</v>
      </c>
      <c r="H38">
        <v>0</v>
      </c>
      <c r="I38">
        <v>0</v>
      </c>
    </row>
    <row r="39" spans="2:10">
      <c r="G39" s="7" t="s">
        <v>133</v>
      </c>
      <c r="H39">
        <v>0</v>
      </c>
      <c r="I39">
        <v>0</v>
      </c>
    </row>
    <row r="40" spans="2:10">
      <c r="G40" s="7" t="s">
        <v>59</v>
      </c>
      <c r="H40">
        <v>0</v>
      </c>
      <c r="I40">
        <v>0</v>
      </c>
    </row>
    <row r="41" spans="2:10">
      <c r="G41" s="7" t="s">
        <v>60</v>
      </c>
      <c r="H41">
        <v>0</v>
      </c>
      <c r="I41">
        <v>0</v>
      </c>
    </row>
    <row r="42" spans="2:10">
      <c r="G42" s="7" t="s">
        <v>61</v>
      </c>
      <c r="H42">
        <v>0</v>
      </c>
      <c r="I42">
        <v>0</v>
      </c>
    </row>
    <row r="43" spans="2:10">
      <c r="G43" s="7" t="s">
        <v>62</v>
      </c>
      <c r="H43">
        <v>0</v>
      </c>
      <c r="I43">
        <v>0</v>
      </c>
    </row>
    <row r="44" spans="2:10">
      <c r="G44" s="7" t="s">
        <v>63</v>
      </c>
      <c r="H44">
        <v>0</v>
      </c>
      <c r="I44">
        <v>0</v>
      </c>
    </row>
    <row r="45" spans="2:10" ht="14.25" thickBot="1">
      <c r="G45" s="8" t="s">
        <v>64</v>
      </c>
      <c r="H45">
        <v>0</v>
      </c>
      <c r="I45">
        <v>0</v>
      </c>
    </row>
    <row r="47" spans="2:10">
      <c r="G47" s="43" t="s">
        <v>15</v>
      </c>
      <c r="H47" s="44">
        <f>SUM(H3:H45)</f>
        <v>250000</v>
      </c>
      <c r="I47" s="44">
        <f>SUM(I3:I45)</f>
        <v>686</v>
      </c>
      <c r="J47">
        <f>SUM(H47:I47)</f>
        <v>250686</v>
      </c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</vt:i4>
      </vt:variant>
    </vt:vector>
  </HeadingPairs>
  <TitlesOfParts>
    <vt:vector size="9" baseType="lpstr">
      <vt:lpstr>총 계</vt:lpstr>
      <vt:lpstr>부두별-세부구분</vt:lpstr>
      <vt:lpstr>부두별-운영주체구분</vt:lpstr>
      <vt:lpstr>품목별</vt:lpstr>
      <vt:lpstr>품목별-증감현황</vt:lpstr>
      <vt:lpstr>Sheet1</vt:lpstr>
      <vt:lpstr>2017</vt:lpstr>
      <vt:lpstr>2018</vt:lpstr>
      <vt:lpstr>'총 계'!Print_Area</vt:lpstr>
    </vt:vector>
  </TitlesOfParts>
  <Company>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MOF</cp:lastModifiedBy>
  <cp:lastPrinted>2024-10-28T06:11:32Z</cp:lastPrinted>
  <dcterms:created xsi:type="dcterms:W3CDTF">2007-10-29T07:53:39Z</dcterms:created>
  <dcterms:modified xsi:type="dcterms:W3CDTF">2026-06-30T18:21:38Z</dcterms:modified>
</cp:coreProperties>
</file>