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05" yWindow="-105" windowWidth="23250" windowHeight="12570" tabRatio="876" firstSheet="3" activeTab="25"/>
  </bookViews>
  <sheets>
    <sheet name="2001" sheetId="1" r:id="rId1"/>
    <sheet name="2002" sheetId="2" r:id="rId2"/>
    <sheet name="2003" sheetId="4" r:id="rId3"/>
    <sheet name="2004" sheetId="5" r:id="rId4"/>
    <sheet name="2005" sheetId="3" r:id="rId5"/>
    <sheet name="2006" sheetId="6" r:id="rId6"/>
    <sheet name="2007" sheetId="7" r:id="rId7"/>
    <sheet name="2008" sheetId="8" r:id="rId8"/>
    <sheet name="2009" sheetId="9" r:id="rId9"/>
    <sheet name="2010" sheetId="12" r:id="rId10"/>
    <sheet name="2011" sheetId="10" r:id="rId11"/>
    <sheet name="2012" sheetId="13" r:id="rId12"/>
    <sheet name="2013" sheetId="14" r:id="rId13"/>
    <sheet name="2014" sheetId="15" r:id="rId14"/>
    <sheet name="2015" sheetId="16" r:id="rId15"/>
    <sheet name="2016" sheetId="18" r:id="rId16"/>
    <sheet name="2017" sheetId="17" r:id="rId17"/>
    <sheet name="2018" sheetId="20" r:id="rId18"/>
    <sheet name="2019" sheetId="23" r:id="rId19"/>
    <sheet name="2020" sheetId="22" r:id="rId20"/>
    <sheet name="2021" sheetId="24" r:id="rId21"/>
    <sheet name="2022" sheetId="26" r:id="rId22"/>
    <sheet name="2023" sheetId="27" r:id="rId23"/>
    <sheet name="2024" sheetId="28" r:id="rId24"/>
    <sheet name="2025" sheetId="29" r:id="rId25"/>
    <sheet name="2026" sheetId="30" r:id="rId26"/>
  </sheets>
  <externalReferences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</externalReferences>
  <definedNames>
    <definedName name="_xlnm.Print_Area" localSheetId="11">'2012'!$B$2:$M$17</definedName>
    <definedName name="_xlnm.Print_Area" localSheetId="12">'2013'!$B$2:$M$17</definedName>
    <definedName name="_xlnm.Print_Area" localSheetId="13">'2014'!$B$2:$O$17</definedName>
    <definedName name="_xlnm.Print_Area" localSheetId="14">'2015'!$B$2:$O$17</definedName>
    <definedName name="_xlnm.Print_Area" localSheetId="15">'2016'!$B$2:$O$17</definedName>
    <definedName name="_xlnm.Print_Area" localSheetId="16">'2017'!$B$2:$O$17</definedName>
    <definedName name="_xlnm.Print_Area" localSheetId="17">'2018'!$B$2:$O$17</definedName>
    <definedName name="_xlnm.Print_Area" localSheetId="18">'2019'!$B$2:$O$17</definedName>
    <definedName name="_xlnm.Print_Area" localSheetId="19">'2020'!$B$2:$O$17</definedName>
    <definedName name="_xlnm.Print_Area" localSheetId="20">'2021'!$B$2:$O$17</definedName>
    <definedName name="_xlnm.Print_Area" localSheetId="21">'2022'!$B$2:$O$17</definedName>
    <definedName name="_xlnm.Print_Area" localSheetId="22">'2023'!$B$2:$O$17</definedName>
    <definedName name="_xlnm.Print_Area" localSheetId="23">'2024'!$B$2:$O$17</definedName>
    <definedName name="_xlnm.Print_Area" localSheetId="24">'2025'!$B$2:$O$17</definedName>
    <definedName name="_xlnm.Print_Area" localSheetId="25">'2026'!$B$2:$O$17</definedName>
  </definedNames>
  <calcPr calcId="145621"/>
</workbook>
</file>

<file path=xl/calcChain.xml><?xml version="1.0" encoding="utf-8"?>
<calcChain xmlns="http://schemas.openxmlformats.org/spreadsheetml/2006/main">
  <c r="K10" i="30" l="1"/>
  <c r="E10" i="30"/>
  <c r="E9" i="30" l="1"/>
  <c r="K9" i="30"/>
  <c r="K8" i="30"/>
  <c r="K7" i="30"/>
  <c r="E8" i="30" l="1"/>
  <c r="E7" i="30" l="1"/>
  <c r="K6" i="30" l="1"/>
  <c r="C7" i="30"/>
  <c r="C8" i="30"/>
  <c r="C9" i="30"/>
  <c r="C10" i="30"/>
  <c r="C11" i="30"/>
  <c r="C12" i="30"/>
  <c r="C13" i="30"/>
  <c r="C14" i="30"/>
  <c r="C15" i="30"/>
  <c r="C16" i="30"/>
  <c r="C17" i="30"/>
  <c r="C6" i="30"/>
  <c r="E6" i="30"/>
  <c r="O5" i="30"/>
  <c r="N5" i="30"/>
  <c r="M5" i="30"/>
  <c r="L5" i="30"/>
  <c r="K5" i="30"/>
  <c r="J5" i="30"/>
  <c r="I5" i="30"/>
  <c r="H5" i="30"/>
  <c r="G5" i="30"/>
  <c r="F5" i="30"/>
  <c r="E5" i="30"/>
  <c r="D5" i="30"/>
  <c r="C5" i="30" l="1"/>
  <c r="K17" i="29"/>
  <c r="E17" i="29"/>
  <c r="K16" i="29" l="1"/>
  <c r="E16" i="29"/>
  <c r="K15" i="29" l="1"/>
  <c r="E15" i="29"/>
  <c r="E14" i="29" l="1"/>
  <c r="K14" i="29"/>
  <c r="N12" i="29"/>
  <c r="N13" i="29"/>
  <c r="K13" i="29" l="1"/>
  <c r="E13" i="29"/>
  <c r="C13" i="29" l="1"/>
  <c r="K12" i="29" l="1"/>
  <c r="C12" i="29"/>
  <c r="C11" i="29"/>
  <c r="E12" i="29"/>
  <c r="E11" i="29"/>
  <c r="K11" i="29" l="1"/>
  <c r="K10" i="29"/>
  <c r="E10" i="29" l="1"/>
  <c r="K9" i="29"/>
  <c r="E9" i="29"/>
  <c r="C17" i="28" l="1"/>
  <c r="C16" i="28"/>
  <c r="C15" i="28"/>
  <c r="C14" i="28"/>
  <c r="C13" i="28"/>
  <c r="C11" i="28"/>
  <c r="C10" i="28"/>
  <c r="C9" i="28"/>
  <c r="C8" i="28"/>
  <c r="K7" i="28"/>
  <c r="E7" i="28"/>
  <c r="C7" i="28" s="1"/>
  <c r="C5" i="28" s="1"/>
  <c r="C6" i="28"/>
  <c r="O5" i="28"/>
  <c r="N5" i="28"/>
  <c r="M5" i="28"/>
  <c r="L5" i="28"/>
  <c r="K5" i="28"/>
  <c r="J5" i="28"/>
  <c r="I5" i="28"/>
  <c r="H5" i="28"/>
  <c r="G5" i="28"/>
  <c r="F5" i="28"/>
  <c r="D5" i="28"/>
  <c r="E5" i="28" l="1"/>
  <c r="D5" i="29" l="1"/>
  <c r="E5" i="29"/>
  <c r="F5" i="29"/>
  <c r="G5" i="29"/>
  <c r="H5" i="29"/>
  <c r="I5" i="29"/>
  <c r="J5" i="29"/>
  <c r="K5" i="29"/>
  <c r="L5" i="29"/>
  <c r="M5" i="29"/>
  <c r="N5" i="29"/>
  <c r="O5" i="29"/>
  <c r="C6" i="29"/>
  <c r="C7" i="29"/>
  <c r="C8" i="29"/>
  <c r="C9" i="29"/>
  <c r="C10" i="29"/>
  <c r="C14" i="29"/>
  <c r="C15" i="29"/>
  <c r="C16" i="29"/>
  <c r="C17" i="29"/>
  <c r="C5" i="29" l="1"/>
  <c r="G5" i="7" l="1"/>
  <c r="D5" i="7"/>
  <c r="E5" i="7"/>
  <c r="F5" i="7"/>
  <c r="D5" i="27"/>
  <c r="F5" i="27"/>
  <c r="G5" i="27"/>
  <c r="H5" i="27"/>
  <c r="I5" i="27"/>
  <c r="J5" i="27"/>
  <c r="L5" i="27"/>
  <c r="M5" i="27"/>
  <c r="N5" i="27"/>
  <c r="O5" i="27"/>
  <c r="D5" i="26"/>
  <c r="F5" i="26"/>
  <c r="G5" i="26"/>
  <c r="H5" i="26"/>
  <c r="I5" i="26"/>
  <c r="J5" i="26"/>
  <c r="K5" i="26"/>
  <c r="L5" i="26"/>
  <c r="M5" i="26"/>
  <c r="N5" i="26"/>
  <c r="O5" i="26"/>
  <c r="D5" i="20"/>
  <c r="F5" i="20"/>
  <c r="G5" i="20"/>
  <c r="I5" i="20"/>
  <c r="J5" i="20"/>
  <c r="L5" i="20"/>
  <c r="M5" i="20"/>
  <c r="N5" i="20"/>
  <c r="O5" i="20"/>
  <c r="D5" i="17"/>
  <c r="F5" i="17"/>
  <c r="G5" i="17"/>
  <c r="H5" i="17"/>
  <c r="I5" i="17"/>
  <c r="J5" i="17"/>
  <c r="L5" i="17"/>
  <c r="M5" i="17"/>
  <c r="N5" i="17"/>
  <c r="O5" i="17"/>
  <c r="D5" i="18"/>
  <c r="F5" i="18"/>
  <c r="G5" i="18"/>
  <c r="H5" i="18"/>
  <c r="I5" i="18"/>
  <c r="J5" i="18"/>
  <c r="L5" i="18"/>
  <c r="M5" i="18"/>
  <c r="N5" i="18"/>
  <c r="O5" i="18"/>
  <c r="D5" i="16"/>
  <c r="F5" i="16"/>
  <c r="G5" i="16"/>
  <c r="H5" i="16"/>
  <c r="I5" i="16"/>
  <c r="J5" i="16"/>
  <c r="L5" i="16"/>
  <c r="M5" i="16"/>
  <c r="O5" i="16"/>
  <c r="D5" i="15"/>
  <c r="F5" i="15"/>
  <c r="G5" i="15"/>
  <c r="H5" i="15"/>
  <c r="I5" i="15"/>
  <c r="J5" i="15"/>
  <c r="L5" i="15"/>
  <c r="M5" i="15"/>
  <c r="O5" i="15"/>
  <c r="F5" i="14"/>
  <c r="G5" i="14"/>
  <c r="H5" i="14"/>
  <c r="K5" i="14"/>
  <c r="M5" i="14"/>
  <c r="K5" i="13"/>
  <c r="M5" i="13"/>
  <c r="D5" i="10"/>
  <c r="E5" i="10"/>
  <c r="F5" i="10"/>
  <c r="G5" i="10"/>
  <c r="H5" i="10"/>
  <c r="I5" i="10"/>
  <c r="J5" i="10"/>
  <c r="K5" i="10"/>
  <c r="E5" i="12"/>
  <c r="F5" i="12"/>
  <c r="G5" i="12"/>
  <c r="H5" i="12"/>
  <c r="I5" i="12"/>
  <c r="J5" i="12"/>
  <c r="K5" i="12"/>
  <c r="D5" i="12"/>
  <c r="D5" i="9"/>
  <c r="E5" i="9"/>
  <c r="F5" i="9"/>
  <c r="G5" i="9"/>
  <c r="H5" i="9"/>
  <c r="I5" i="9"/>
  <c r="J5" i="9"/>
  <c r="D5" i="8"/>
  <c r="E5" i="8"/>
  <c r="F5" i="8"/>
  <c r="G5" i="8"/>
  <c r="H5" i="8"/>
  <c r="C5" i="9" l="1"/>
  <c r="E13" i="27"/>
  <c r="K13" i="27"/>
  <c r="K12" i="27" l="1"/>
  <c r="E12" i="27"/>
  <c r="E11" i="27" l="1"/>
  <c r="K11" i="27"/>
  <c r="K10" i="27" l="1"/>
  <c r="E10" i="27"/>
  <c r="K9" i="27" l="1"/>
  <c r="K6" i="27" l="1"/>
  <c r="K7" i="27"/>
  <c r="K8" i="27"/>
  <c r="E8" i="27"/>
  <c r="K5" i="27" l="1"/>
  <c r="E7" i="27"/>
  <c r="E6" i="27" l="1"/>
  <c r="E5" i="27" s="1"/>
  <c r="C17" i="27"/>
  <c r="C16" i="27"/>
  <c r="C15" i="27"/>
  <c r="C14" i="27"/>
  <c r="C13" i="27"/>
  <c r="C12" i="27"/>
  <c r="C11" i="27"/>
  <c r="C10" i="27"/>
  <c r="C9" i="27"/>
  <c r="C8" i="27"/>
  <c r="C7" i="27"/>
  <c r="C6" i="27"/>
  <c r="C5" i="27" l="1"/>
  <c r="E17" i="26"/>
  <c r="E15" i="26"/>
  <c r="E14" i="26"/>
  <c r="E13" i="26"/>
  <c r="E12" i="26"/>
  <c r="E11" i="26"/>
  <c r="E10" i="26"/>
  <c r="E9" i="26"/>
  <c r="E8" i="26"/>
  <c r="E7" i="26"/>
  <c r="E6" i="26"/>
  <c r="E5" i="26" s="1"/>
  <c r="C15" i="26" l="1"/>
  <c r="C17" i="26" l="1"/>
  <c r="C16" i="26"/>
  <c r="C14" i="26"/>
  <c r="C13" i="26"/>
  <c r="C12" i="26"/>
  <c r="C11" i="26"/>
  <c r="C10" i="26"/>
  <c r="C9" i="26"/>
  <c r="C8" i="26"/>
  <c r="C7" i="26"/>
  <c r="C6" i="26"/>
  <c r="C5" i="26" l="1"/>
  <c r="J11" i="24"/>
  <c r="E17" i="24" l="1"/>
  <c r="K17" i="24"/>
  <c r="E15" i="24" l="1"/>
  <c r="K16" i="24" l="1"/>
  <c r="E16" i="24"/>
  <c r="O15" i="24" l="1"/>
  <c r="N15" i="24"/>
  <c r="M15" i="24"/>
  <c r="L15" i="24"/>
  <c r="K15" i="24"/>
  <c r="J15" i="24"/>
  <c r="I15" i="24"/>
  <c r="H15" i="24"/>
  <c r="G15" i="24"/>
  <c r="F15" i="24"/>
  <c r="D15" i="24"/>
  <c r="O14" i="24" l="1"/>
  <c r="N14" i="24"/>
  <c r="M14" i="24"/>
  <c r="L14" i="24"/>
  <c r="K14" i="24"/>
  <c r="J14" i="24"/>
  <c r="I14" i="24"/>
  <c r="H14" i="24"/>
  <c r="G14" i="24"/>
  <c r="F14" i="24"/>
  <c r="E14" i="24"/>
  <c r="D14" i="24"/>
  <c r="C14" i="24" l="1"/>
  <c r="O13" i="24"/>
  <c r="N13" i="24"/>
  <c r="N12" i="24"/>
  <c r="M13" i="24"/>
  <c r="L13" i="24"/>
  <c r="K13" i="24"/>
  <c r="J13" i="24"/>
  <c r="I13" i="24"/>
  <c r="H13" i="24"/>
  <c r="G13" i="24"/>
  <c r="F13" i="24"/>
  <c r="E13" i="24"/>
  <c r="D13" i="24"/>
  <c r="O12" i="24" l="1"/>
  <c r="M12" i="24"/>
  <c r="L12" i="24"/>
  <c r="K12" i="24"/>
  <c r="J12" i="24"/>
  <c r="I12" i="24"/>
  <c r="H12" i="24"/>
  <c r="G12" i="24" l="1"/>
  <c r="F12" i="24"/>
  <c r="E12" i="24"/>
  <c r="D12" i="24"/>
  <c r="H11" i="24" l="1"/>
  <c r="C12" i="24" l="1"/>
  <c r="O11" i="24"/>
  <c r="N11" i="24"/>
  <c r="M11" i="24"/>
  <c r="L11" i="24"/>
  <c r="K11" i="24"/>
  <c r="I11" i="24"/>
  <c r="G11" i="24"/>
  <c r="F11" i="24"/>
  <c r="E10" i="24" l="1"/>
  <c r="D11" i="24"/>
  <c r="O10" i="24" l="1"/>
  <c r="N10" i="24"/>
  <c r="M10" i="24"/>
  <c r="L10" i="24"/>
  <c r="K10" i="24"/>
  <c r="O8" i="24"/>
  <c r="N8" i="24"/>
  <c r="O9" i="24" l="1"/>
  <c r="N9" i="24"/>
  <c r="G10" i="24" l="1"/>
  <c r="G9" i="24"/>
  <c r="F10" i="24"/>
  <c r="F9" i="24"/>
  <c r="E9" i="24"/>
  <c r="J10" i="24"/>
  <c r="J9" i="24"/>
  <c r="I10" i="24"/>
  <c r="H10" i="24"/>
  <c r="H9" i="24"/>
  <c r="D10" i="24" l="1"/>
  <c r="E8" i="24" l="1"/>
  <c r="M9" i="24"/>
  <c r="M8" i="24"/>
  <c r="L9" i="24"/>
  <c r="K9" i="24" l="1"/>
  <c r="I9" i="24"/>
  <c r="D9" i="24"/>
  <c r="D8" i="24" l="1"/>
  <c r="L8" i="24" l="1"/>
  <c r="K8" i="24"/>
  <c r="J8" i="24"/>
  <c r="I8" i="24"/>
  <c r="H8" i="24"/>
  <c r="G8" i="24"/>
  <c r="F8" i="24"/>
  <c r="D7" i="24"/>
  <c r="O7" i="24" l="1"/>
  <c r="O6" i="24"/>
  <c r="O5" i="24" s="1"/>
  <c r="N7" i="24"/>
  <c r="N6" i="24"/>
  <c r="M7" i="24"/>
  <c r="M6" i="24"/>
  <c r="M5" i="24" s="1"/>
  <c r="L7" i="24"/>
  <c r="L6" i="24"/>
  <c r="K7" i="24"/>
  <c r="K6" i="24"/>
  <c r="K5" i="24" s="1"/>
  <c r="J7" i="24"/>
  <c r="J6" i="24"/>
  <c r="I7" i="24"/>
  <c r="I6" i="24"/>
  <c r="I5" i="24" s="1"/>
  <c r="H7" i="24"/>
  <c r="G7" i="24"/>
  <c r="G6" i="24"/>
  <c r="F7" i="24"/>
  <c r="E7" i="24"/>
  <c r="D6" i="24"/>
  <c r="D5" i="24" s="1"/>
  <c r="G5" i="24" l="1"/>
  <c r="J5" i="24"/>
  <c r="L5" i="24"/>
  <c r="N5" i="24"/>
  <c r="H6" i="24"/>
  <c r="H5" i="24" s="1"/>
  <c r="E6" i="24"/>
  <c r="E5" i="24" s="1"/>
  <c r="F6" i="24"/>
  <c r="F5" i="24" s="1"/>
  <c r="C17" i="24" l="1"/>
  <c r="C16" i="24"/>
  <c r="C15" i="24"/>
  <c r="C13" i="24"/>
  <c r="C11" i="24"/>
  <c r="C10" i="24"/>
  <c r="C9" i="24"/>
  <c r="C8" i="24"/>
  <c r="C7" i="24"/>
  <c r="C6" i="24"/>
  <c r="C5" i="24" l="1"/>
  <c r="O17" i="22"/>
  <c r="N17" i="22"/>
  <c r="M17" i="22"/>
  <c r="L17" i="22"/>
  <c r="L16" i="22"/>
  <c r="K17" i="22"/>
  <c r="J17" i="22"/>
  <c r="I17" i="22"/>
  <c r="H17" i="22"/>
  <c r="G17" i="22"/>
  <c r="F17" i="22"/>
  <c r="E17" i="22"/>
  <c r="D17" i="22"/>
  <c r="O16" i="22" l="1"/>
  <c r="N16" i="22"/>
  <c r="M16" i="22"/>
  <c r="K16" i="22"/>
  <c r="J16" i="22"/>
  <c r="I16" i="22"/>
  <c r="H16" i="22"/>
  <c r="G16" i="22"/>
  <c r="F16" i="22"/>
  <c r="F15" i="22"/>
  <c r="E16" i="22"/>
  <c r="E15" i="22"/>
  <c r="D16" i="22"/>
  <c r="D15" i="22"/>
  <c r="O15" i="22" l="1"/>
  <c r="O14" i="22"/>
  <c r="N15" i="22"/>
  <c r="M15" i="22"/>
  <c r="L15" i="22"/>
  <c r="K15" i="22"/>
  <c r="J15" i="22"/>
  <c r="I15" i="22"/>
  <c r="H15" i="22"/>
  <c r="G15" i="22"/>
  <c r="N14" i="22" l="1"/>
  <c r="M14" i="22"/>
  <c r="L14" i="22"/>
  <c r="K14" i="22"/>
  <c r="J14" i="22"/>
  <c r="I14" i="22"/>
  <c r="H14" i="22"/>
  <c r="G14" i="22"/>
  <c r="F14" i="22"/>
  <c r="E14" i="22"/>
  <c r="D14" i="22"/>
  <c r="D13" i="22"/>
  <c r="O13" i="22" l="1"/>
  <c r="O12" i="22"/>
  <c r="N13" i="22"/>
  <c r="N12" i="22"/>
  <c r="M13" i="22"/>
  <c r="M12" i="22"/>
  <c r="L13" i="22"/>
  <c r="L12" i="22"/>
  <c r="K13" i="22"/>
  <c r="K12" i="22"/>
  <c r="J13" i="22"/>
  <c r="J12" i="22"/>
  <c r="I13" i="22"/>
  <c r="I12" i="22"/>
  <c r="H13" i="22"/>
  <c r="H12" i="22"/>
  <c r="G13" i="22"/>
  <c r="G12" i="22"/>
  <c r="F13" i="22"/>
  <c r="F12" i="22"/>
  <c r="E13" i="22"/>
  <c r="E12" i="22"/>
  <c r="D12" i="22"/>
  <c r="O11" i="22" l="1"/>
  <c r="N11" i="22"/>
  <c r="M11" i="22"/>
  <c r="L11" i="22"/>
  <c r="K11" i="22"/>
  <c r="J11" i="22"/>
  <c r="I11" i="22"/>
  <c r="H11" i="22"/>
  <c r="G11" i="22"/>
  <c r="F11" i="22"/>
  <c r="E11" i="22"/>
  <c r="D11" i="22"/>
  <c r="O10" i="22" l="1"/>
  <c r="N10" i="22"/>
  <c r="M10" i="22"/>
  <c r="L10" i="22"/>
  <c r="K10" i="22"/>
  <c r="J10" i="22"/>
  <c r="I10" i="22"/>
  <c r="H10" i="22"/>
  <c r="G10" i="22"/>
  <c r="F10" i="22"/>
  <c r="E10" i="22"/>
  <c r="D10" i="22"/>
  <c r="M9" i="22" l="1"/>
  <c r="J9" i="22"/>
  <c r="D9" i="22"/>
  <c r="O9" i="22" l="1"/>
  <c r="N9" i="22"/>
  <c r="N8" i="22"/>
  <c r="L9" i="22"/>
  <c r="K9" i="22"/>
  <c r="I9" i="22"/>
  <c r="H9" i="22"/>
  <c r="G9" i="22"/>
  <c r="F9" i="22"/>
  <c r="E9" i="22"/>
  <c r="O8" i="22" l="1"/>
  <c r="M8" i="22"/>
  <c r="L8" i="22"/>
  <c r="K8" i="22"/>
  <c r="J8" i="22"/>
  <c r="I8" i="22"/>
  <c r="H8" i="22"/>
  <c r="G8" i="22"/>
  <c r="F8" i="22"/>
  <c r="E8" i="22"/>
  <c r="D8" i="22"/>
  <c r="O7" i="22" l="1"/>
  <c r="N7" i="22"/>
  <c r="M7" i="22"/>
  <c r="L7" i="22"/>
  <c r="K7" i="22"/>
  <c r="J7" i="22"/>
  <c r="I7" i="22"/>
  <c r="H7" i="22"/>
  <c r="G7" i="22"/>
  <c r="F7" i="22"/>
  <c r="E7" i="22"/>
  <c r="D7" i="22"/>
  <c r="H6" i="22" l="1"/>
  <c r="H5" i="22" s="1"/>
  <c r="O6" i="22" l="1"/>
  <c r="O5" i="22" s="1"/>
  <c r="N6" i="22"/>
  <c r="N5" i="22" s="1"/>
  <c r="M6" i="22"/>
  <c r="M5" i="22" s="1"/>
  <c r="L6" i="22"/>
  <c r="L5" i="22" s="1"/>
  <c r="K6" i="22"/>
  <c r="K5" i="22" s="1"/>
  <c r="J6" i="22"/>
  <c r="J5" i="22" s="1"/>
  <c r="I6" i="22"/>
  <c r="I5" i="22" s="1"/>
  <c r="G6" i="22"/>
  <c r="G5" i="22" s="1"/>
  <c r="F6" i="22"/>
  <c r="F5" i="22" s="1"/>
  <c r="E6" i="22"/>
  <c r="E5" i="22" s="1"/>
  <c r="D6" i="22"/>
  <c r="D5" i="22" s="1"/>
  <c r="E6" i="23" l="1"/>
  <c r="H6" i="23"/>
  <c r="K6" i="23"/>
  <c r="E7" i="23"/>
  <c r="K7" i="23"/>
  <c r="E8" i="23"/>
  <c r="H8" i="23"/>
  <c r="K8" i="23"/>
  <c r="E9" i="23"/>
  <c r="K9" i="23"/>
  <c r="E10" i="23"/>
  <c r="K10" i="23"/>
  <c r="E11" i="23"/>
  <c r="K11" i="23"/>
  <c r="C11" i="23" s="1"/>
  <c r="E12" i="23"/>
  <c r="K12" i="23"/>
  <c r="D13" i="23"/>
  <c r="E13" i="23"/>
  <c r="F13" i="23"/>
  <c r="G13" i="23"/>
  <c r="H13" i="23"/>
  <c r="I13" i="23"/>
  <c r="J13" i="23"/>
  <c r="K13" i="23"/>
  <c r="L13" i="23"/>
  <c r="M13" i="23"/>
  <c r="N13" i="23"/>
  <c r="O13" i="23"/>
  <c r="D14" i="23"/>
  <c r="E14" i="23"/>
  <c r="F14" i="23"/>
  <c r="G14" i="23"/>
  <c r="H14" i="23"/>
  <c r="I14" i="23"/>
  <c r="J14" i="23"/>
  <c r="K14" i="23"/>
  <c r="L14" i="23"/>
  <c r="M14" i="23"/>
  <c r="N14" i="23"/>
  <c r="O14" i="23"/>
  <c r="D15" i="23"/>
  <c r="E15" i="23"/>
  <c r="F15" i="23"/>
  <c r="G15" i="23"/>
  <c r="H15" i="23"/>
  <c r="I15" i="23"/>
  <c r="J15" i="23"/>
  <c r="K15" i="23"/>
  <c r="L15" i="23"/>
  <c r="M15" i="23"/>
  <c r="N15" i="23"/>
  <c r="O15" i="23"/>
  <c r="D16" i="23"/>
  <c r="E16" i="23"/>
  <c r="F16" i="23"/>
  <c r="G16" i="23"/>
  <c r="H16" i="23"/>
  <c r="I16" i="23"/>
  <c r="J16" i="23"/>
  <c r="K16" i="23"/>
  <c r="L16" i="23"/>
  <c r="M16" i="23"/>
  <c r="N16" i="23"/>
  <c r="O16" i="23"/>
  <c r="D17" i="23"/>
  <c r="E17" i="23"/>
  <c r="F17" i="23"/>
  <c r="G17" i="23"/>
  <c r="H17" i="23"/>
  <c r="I17" i="23"/>
  <c r="J17" i="23"/>
  <c r="K17" i="23"/>
  <c r="L17" i="23"/>
  <c r="M17" i="23"/>
  <c r="N17" i="23"/>
  <c r="O17" i="23"/>
  <c r="J5" i="23" l="1"/>
  <c r="K5" i="23"/>
  <c r="M5" i="23"/>
  <c r="I5" i="23"/>
  <c r="C8" i="23"/>
  <c r="H5" i="23"/>
  <c r="O5" i="23"/>
  <c r="G5" i="23"/>
  <c r="N5" i="23"/>
  <c r="F5" i="23"/>
  <c r="L5" i="23"/>
  <c r="D5" i="23"/>
  <c r="E5" i="23"/>
  <c r="C9" i="23"/>
  <c r="C7" i="23"/>
  <c r="C12" i="23"/>
  <c r="C6" i="23"/>
  <c r="C15" i="23"/>
  <c r="C14" i="23"/>
  <c r="C17" i="23"/>
  <c r="C10" i="23"/>
  <c r="C13" i="23"/>
  <c r="C16" i="23"/>
  <c r="C5" i="23" l="1"/>
  <c r="C6" i="22"/>
  <c r="C14" i="22" l="1"/>
  <c r="K17" i="20" l="1"/>
  <c r="E17" i="20"/>
  <c r="C9" i="22" l="1"/>
  <c r="C10" i="22"/>
  <c r="C11" i="22"/>
  <c r="C12" i="22"/>
  <c r="C13" i="22"/>
  <c r="C15" i="22"/>
  <c r="C16" i="22"/>
  <c r="C17" i="22"/>
  <c r="C8" i="22" l="1"/>
  <c r="C7" i="22"/>
  <c r="C5" i="22" l="1"/>
  <c r="E16" i="20"/>
  <c r="E15" i="20"/>
  <c r="E14" i="20"/>
  <c r="E13" i="20"/>
  <c r="K12" i="20" l="1"/>
  <c r="E12" i="20"/>
  <c r="E11" i="20"/>
  <c r="H11" i="20"/>
  <c r="K11" i="20"/>
  <c r="K10" i="20"/>
  <c r="E10" i="20"/>
  <c r="K9" i="20"/>
  <c r="E9" i="20"/>
  <c r="K8" i="20"/>
  <c r="E8" i="20"/>
  <c r="H8" i="20"/>
  <c r="H5" i="20" s="1"/>
  <c r="K7" i="20"/>
  <c r="E6" i="20" l="1"/>
  <c r="E5" i="20" s="1"/>
  <c r="K6" i="20" l="1"/>
  <c r="K5" i="20" s="1"/>
  <c r="C17" i="20" l="1"/>
  <c r="C16" i="20" l="1"/>
  <c r="C13" i="20"/>
  <c r="C12" i="20"/>
  <c r="C11" i="20"/>
  <c r="C10" i="20"/>
  <c r="C9" i="20"/>
  <c r="C7" i="20"/>
  <c r="K17" i="17"/>
  <c r="E17" i="17"/>
  <c r="E16" i="17"/>
  <c r="C15" i="20" l="1"/>
  <c r="C8" i="20"/>
  <c r="C14" i="20"/>
  <c r="C6" i="20"/>
  <c r="C5" i="20" s="1"/>
  <c r="K16" i="17"/>
  <c r="C16" i="17" s="1"/>
  <c r="K15" i="17" l="1"/>
  <c r="E15" i="17"/>
  <c r="C15" i="17" s="1"/>
  <c r="K14" i="17" l="1"/>
  <c r="E14" i="17"/>
  <c r="C14" i="17" s="1"/>
  <c r="E13" i="17" l="1"/>
  <c r="K13" i="17"/>
  <c r="K12" i="17"/>
  <c r="E12" i="17"/>
  <c r="E11" i="17"/>
  <c r="K11" i="17"/>
  <c r="K10" i="17"/>
  <c r="C10" i="17" s="1"/>
  <c r="K9" i="17"/>
  <c r="E9" i="17"/>
  <c r="E8" i="17"/>
  <c r="C9" i="17" l="1"/>
  <c r="C13" i="17"/>
  <c r="C12" i="17"/>
  <c r="C11" i="17"/>
  <c r="K8" i="17"/>
  <c r="C8" i="17" s="1"/>
  <c r="E7" i="17" l="1"/>
  <c r="K7" i="17"/>
  <c r="C7" i="17" l="1"/>
  <c r="K17" i="18"/>
  <c r="E17" i="18"/>
  <c r="K16" i="18"/>
  <c r="E16" i="18"/>
  <c r="K15" i="18"/>
  <c r="E15" i="18"/>
  <c r="K14" i="18"/>
  <c r="E14" i="18"/>
  <c r="K13" i="18"/>
  <c r="E13" i="18"/>
  <c r="K12" i="18"/>
  <c r="E12" i="18"/>
  <c r="K11" i="18"/>
  <c r="E11" i="18"/>
  <c r="K10" i="18"/>
  <c r="E10" i="18"/>
  <c r="K9" i="18"/>
  <c r="E9" i="18"/>
  <c r="K8" i="18"/>
  <c r="E8" i="18"/>
  <c r="K7" i="18"/>
  <c r="E7" i="18"/>
  <c r="K6" i="18"/>
  <c r="K5" i="18" s="1"/>
  <c r="E6" i="18"/>
  <c r="E5" i="18" l="1"/>
  <c r="C12" i="18"/>
  <c r="C16" i="18"/>
  <c r="C13" i="18"/>
  <c r="C15" i="18"/>
  <c r="C17" i="18"/>
  <c r="C8" i="18"/>
  <c r="C10" i="18"/>
  <c r="C11" i="18"/>
  <c r="C6" i="18"/>
  <c r="C9" i="18"/>
  <c r="C7" i="18"/>
  <c r="C14" i="18"/>
  <c r="C5" i="18" l="1"/>
  <c r="K6" i="17"/>
  <c r="K5" i="17" s="1"/>
  <c r="E6" i="17"/>
  <c r="E5" i="17" s="1"/>
  <c r="C6" i="17" l="1"/>
  <c r="C5" i="17" s="1"/>
  <c r="E17" i="16"/>
  <c r="N17" i="16"/>
  <c r="N5" i="16" s="1"/>
  <c r="K17" i="16"/>
  <c r="E16" i="16" l="1"/>
  <c r="K16" i="16"/>
  <c r="E15" i="16"/>
  <c r="K15" i="16"/>
  <c r="C16" i="16" l="1"/>
  <c r="K14" i="16"/>
  <c r="E14" i="16"/>
  <c r="K13" i="16"/>
  <c r="E13" i="16"/>
  <c r="K12" i="16"/>
  <c r="E12" i="16"/>
  <c r="K11" i="16"/>
  <c r="E11" i="16"/>
  <c r="K10" i="16"/>
  <c r="E10" i="16"/>
  <c r="E9" i="16"/>
  <c r="K8" i="16"/>
  <c r="K9" i="16"/>
  <c r="E8" i="16"/>
  <c r="E7" i="16" l="1"/>
  <c r="K7" i="16"/>
  <c r="K6" i="16"/>
  <c r="K5" i="16" s="1"/>
  <c r="E6" i="16"/>
  <c r="E5" i="16" s="1"/>
  <c r="C17" i="16"/>
  <c r="C15" i="16"/>
  <c r="C14" i="16"/>
  <c r="C13" i="16"/>
  <c r="C12" i="16"/>
  <c r="C11" i="16"/>
  <c r="C10" i="16"/>
  <c r="C9" i="16"/>
  <c r="C8" i="16"/>
  <c r="K17" i="15"/>
  <c r="E17" i="15"/>
  <c r="K16" i="15"/>
  <c r="E16" i="15"/>
  <c r="E15" i="15"/>
  <c r="C15" i="15" s="1"/>
  <c r="E14" i="15"/>
  <c r="K14" i="15"/>
  <c r="K13" i="15"/>
  <c r="E13" i="15"/>
  <c r="E12" i="15"/>
  <c r="K12" i="15"/>
  <c r="K11" i="15"/>
  <c r="E11" i="15"/>
  <c r="K10" i="15"/>
  <c r="E10" i="15"/>
  <c r="K9" i="15"/>
  <c r="E9" i="15"/>
  <c r="E8" i="15"/>
  <c r="K8" i="15"/>
  <c r="N8" i="15"/>
  <c r="E7" i="15"/>
  <c r="K7" i="15"/>
  <c r="N6" i="15"/>
  <c r="N7" i="15"/>
  <c r="E6" i="15"/>
  <c r="K6" i="15"/>
  <c r="E17" i="14"/>
  <c r="I17" i="14"/>
  <c r="L17" i="14"/>
  <c r="E16" i="14"/>
  <c r="L16" i="14"/>
  <c r="I16" i="14"/>
  <c r="E15" i="14"/>
  <c r="I15" i="14"/>
  <c r="L15" i="14"/>
  <c r="E14" i="14"/>
  <c r="I14" i="14"/>
  <c r="L14" i="14"/>
  <c r="E13" i="14"/>
  <c r="I13" i="14"/>
  <c r="L13" i="14"/>
  <c r="E12" i="14"/>
  <c r="L12" i="14"/>
  <c r="I12" i="14"/>
  <c r="E11" i="14"/>
  <c r="L11" i="14"/>
  <c r="I11" i="14"/>
  <c r="E10" i="14"/>
  <c r="I10" i="14"/>
  <c r="L10" i="14"/>
  <c r="E9" i="14"/>
  <c r="I9" i="14"/>
  <c r="L9" i="14"/>
  <c r="E8" i="14"/>
  <c r="I8" i="14"/>
  <c r="L8" i="14"/>
  <c r="E7" i="14"/>
  <c r="I7" i="14"/>
  <c r="J7" i="14"/>
  <c r="J5" i="14" s="1"/>
  <c r="L7" i="14"/>
  <c r="E6" i="14"/>
  <c r="D6" i="14"/>
  <c r="D5" i="14" s="1"/>
  <c r="L6" i="14"/>
  <c r="I6" i="14"/>
  <c r="E17" i="13"/>
  <c r="I17" i="13"/>
  <c r="L17" i="13"/>
  <c r="E16" i="13"/>
  <c r="L16" i="13"/>
  <c r="I16" i="13"/>
  <c r="E15" i="13"/>
  <c r="I15" i="13"/>
  <c r="L15" i="13"/>
  <c r="E14" i="13"/>
  <c r="I14" i="13"/>
  <c r="L14" i="13"/>
  <c r="H14" i="13"/>
  <c r="E13" i="13"/>
  <c r="I11" i="13"/>
  <c r="I13" i="13"/>
  <c r="L13" i="13"/>
  <c r="E12" i="13"/>
  <c r="L12" i="13"/>
  <c r="I12" i="13"/>
  <c r="E11" i="13"/>
  <c r="D11" i="13"/>
  <c r="D5" i="13" s="1"/>
  <c r="G11" i="13"/>
  <c r="F11" i="13"/>
  <c r="E10" i="13"/>
  <c r="E9" i="13"/>
  <c r="I9" i="13"/>
  <c r="J10" i="13"/>
  <c r="J5" i="13" s="1"/>
  <c r="L10" i="13"/>
  <c r="G10" i="13"/>
  <c r="L9" i="13"/>
  <c r="H9" i="13"/>
  <c r="G9" i="13"/>
  <c r="F9" i="13"/>
  <c r="I8" i="13"/>
  <c r="I5" i="13" s="1"/>
  <c r="E8" i="13"/>
  <c r="C7" i="13"/>
  <c r="C6" i="13"/>
  <c r="C16" i="12"/>
  <c r="C15" i="12"/>
  <c r="C14" i="12"/>
  <c r="C13" i="12"/>
  <c r="C12" i="12"/>
  <c r="C11" i="12"/>
  <c r="C10" i="12"/>
  <c r="C9" i="12"/>
  <c r="C8" i="12"/>
  <c r="C7" i="12"/>
  <c r="C6" i="12"/>
  <c r="C8" i="10"/>
  <c r="C17" i="10"/>
  <c r="C16" i="10"/>
  <c r="C9" i="10"/>
  <c r="C10" i="10"/>
  <c r="C11" i="10"/>
  <c r="C12" i="10"/>
  <c r="C13" i="10"/>
  <c r="C14" i="10"/>
  <c r="C15" i="10"/>
  <c r="C7" i="10"/>
  <c r="C6" i="10"/>
  <c r="C17" i="8"/>
  <c r="C7" i="9"/>
  <c r="C8" i="9"/>
  <c r="C9" i="9"/>
  <c r="C10" i="9"/>
  <c r="C11" i="9"/>
  <c r="C12" i="9"/>
  <c r="C13" i="9"/>
  <c r="C14" i="9"/>
  <c r="C15" i="9"/>
  <c r="C16" i="9"/>
  <c r="C17" i="9"/>
  <c r="C6" i="9"/>
  <c r="C7" i="8"/>
  <c r="C8" i="8"/>
  <c r="C9" i="8"/>
  <c r="C10" i="8"/>
  <c r="C11" i="8"/>
  <c r="C12" i="8"/>
  <c r="C13" i="8"/>
  <c r="C14" i="8"/>
  <c r="C15" i="8"/>
  <c r="C16" i="8"/>
  <c r="C6" i="8"/>
  <c r="C6" i="7"/>
  <c r="C7" i="7"/>
  <c r="C8" i="7"/>
  <c r="C9" i="7"/>
  <c r="C10" i="7"/>
  <c r="C11" i="7"/>
  <c r="C12" i="7"/>
  <c r="C13" i="7"/>
  <c r="C14" i="7"/>
  <c r="C15" i="7"/>
  <c r="C16" i="7"/>
  <c r="C17" i="7"/>
  <c r="B14" i="4"/>
  <c r="B15" i="4"/>
  <c r="B10" i="4"/>
  <c r="B5" i="4"/>
  <c r="B6" i="4"/>
  <c r="B7" i="4"/>
  <c r="B8" i="4"/>
  <c r="B9" i="4"/>
  <c r="B11" i="4"/>
  <c r="B12" i="4"/>
  <c r="B13" i="4"/>
  <c r="B4" i="4"/>
  <c r="B10" i="5"/>
  <c r="B5" i="5"/>
  <c r="B6" i="5"/>
  <c r="B7" i="5"/>
  <c r="B8" i="5"/>
  <c r="B9" i="5"/>
  <c r="B4" i="5"/>
  <c r="B4" i="3"/>
  <c r="B5" i="3"/>
  <c r="B6" i="3"/>
  <c r="B7" i="3"/>
  <c r="B8" i="3"/>
  <c r="B9" i="3"/>
  <c r="B10" i="3"/>
  <c r="B11" i="3"/>
  <c r="B12" i="3"/>
  <c r="B13" i="3"/>
  <c r="B14" i="3"/>
  <c r="B15" i="3"/>
  <c r="F16" i="3"/>
  <c r="E16" i="3"/>
  <c r="D16" i="3"/>
  <c r="C16" i="3"/>
  <c r="G16" i="3"/>
  <c r="C16" i="6"/>
  <c r="D16" i="6"/>
  <c r="E16" i="6"/>
  <c r="F16" i="6"/>
  <c r="B5" i="6"/>
  <c r="B6" i="6"/>
  <c r="B7" i="6"/>
  <c r="B8" i="6"/>
  <c r="B9" i="6"/>
  <c r="B10" i="6"/>
  <c r="B11" i="6"/>
  <c r="B12" i="6"/>
  <c r="B13" i="6"/>
  <c r="B14" i="6"/>
  <c r="B15" i="6"/>
  <c r="B4" i="6"/>
  <c r="G16" i="6"/>
  <c r="E16" i="1"/>
  <c r="D16" i="1"/>
  <c r="C16" i="1"/>
  <c r="B4" i="1"/>
  <c r="B5" i="1"/>
  <c r="B6" i="1"/>
  <c r="B5" i="2"/>
  <c r="B6" i="2"/>
  <c r="B7" i="2"/>
  <c r="B8" i="2"/>
  <c r="B9" i="2"/>
  <c r="B10" i="2"/>
  <c r="B11" i="2"/>
  <c r="B12" i="2"/>
  <c r="B13" i="2"/>
  <c r="B14" i="2"/>
  <c r="B15" i="2"/>
  <c r="C16" i="2"/>
  <c r="D16" i="2"/>
  <c r="E16" i="2"/>
  <c r="B4" i="2"/>
  <c r="C8" i="14"/>
  <c r="K5" i="15" l="1"/>
  <c r="C5" i="10"/>
  <c r="E5" i="14"/>
  <c r="E5" i="15"/>
  <c r="E5" i="13"/>
  <c r="H5" i="13"/>
  <c r="C5" i="7"/>
  <c r="C8" i="15"/>
  <c r="N5" i="15"/>
  <c r="I5" i="14"/>
  <c r="L5" i="14"/>
  <c r="L5" i="13"/>
  <c r="F5" i="13"/>
  <c r="G5" i="13"/>
  <c r="C5" i="12"/>
  <c r="C5" i="8"/>
  <c r="B16" i="6"/>
  <c r="C17" i="15"/>
  <c r="C14" i="13"/>
  <c r="C17" i="14"/>
  <c r="C10" i="15"/>
  <c r="C12" i="15"/>
  <c r="C13" i="15"/>
  <c r="C16" i="13"/>
  <c r="C7" i="15"/>
  <c r="C12" i="14"/>
  <c r="B16" i="1"/>
  <c r="C9" i="15"/>
  <c r="C11" i="15"/>
  <c r="C14" i="15"/>
  <c r="C7" i="16"/>
  <c r="B16" i="2"/>
  <c r="C7" i="14"/>
  <c r="C16" i="15"/>
  <c r="C8" i="13"/>
  <c r="C9" i="14"/>
  <c r="C10" i="14"/>
  <c r="C15" i="14"/>
  <c r="C11" i="13"/>
  <c r="C15" i="13"/>
  <c r="C16" i="14"/>
  <c r="C6" i="15"/>
  <c r="C11" i="14"/>
  <c r="C9" i="13"/>
  <c r="C17" i="13"/>
  <c r="C13" i="14"/>
  <c r="C14" i="14"/>
  <c r="C6" i="16"/>
  <c r="B16" i="3"/>
  <c r="C10" i="13"/>
  <c r="C12" i="13"/>
  <c r="C13" i="13"/>
  <c r="C6" i="14"/>
  <c r="C5" i="13" l="1"/>
  <c r="C5" i="16"/>
  <c r="C5" i="15"/>
  <c r="C5" i="14"/>
</calcChain>
</file>

<file path=xl/sharedStrings.xml><?xml version="1.0" encoding="utf-8"?>
<sst xmlns="http://schemas.openxmlformats.org/spreadsheetml/2006/main" count="663" uniqueCount="265">
  <si>
    <t>1월</t>
    <phoneticPr fontId="3" type="noConversion"/>
  </si>
  <si>
    <t>2월</t>
    <phoneticPr fontId="3" type="noConversion"/>
  </si>
  <si>
    <t>3월</t>
    <phoneticPr fontId="3" type="noConversion"/>
  </si>
  <si>
    <t>4월</t>
    <phoneticPr fontId="3" type="noConversion"/>
  </si>
  <si>
    <t>5월</t>
    <phoneticPr fontId="3" type="noConversion"/>
  </si>
  <si>
    <t>6월</t>
    <phoneticPr fontId="3" type="noConversion"/>
  </si>
  <si>
    <t>7월</t>
    <phoneticPr fontId="3" type="noConversion"/>
  </si>
  <si>
    <t>8월</t>
    <phoneticPr fontId="3" type="noConversion"/>
  </si>
  <si>
    <t>9월</t>
    <phoneticPr fontId="3" type="noConversion"/>
  </si>
  <si>
    <t>10월</t>
    <phoneticPr fontId="3" type="noConversion"/>
  </si>
  <si>
    <t>11월</t>
    <phoneticPr fontId="3" type="noConversion"/>
  </si>
  <si>
    <t>12월</t>
    <phoneticPr fontId="3" type="noConversion"/>
  </si>
  <si>
    <t>합계</t>
    <phoneticPr fontId="3" type="noConversion"/>
  </si>
  <si>
    <t xml:space="preserve">          차종
월별</t>
    <phoneticPr fontId="3" type="noConversion"/>
  </si>
  <si>
    <t>계</t>
    <phoneticPr fontId="3" type="noConversion"/>
  </si>
  <si>
    <t>현 대</t>
    <phoneticPr fontId="3" type="noConversion"/>
  </si>
  <si>
    <t>기 아</t>
    <phoneticPr fontId="3" type="noConversion"/>
  </si>
  <si>
    <t>기 타</t>
    <phoneticPr fontId="3" type="noConversion"/>
  </si>
  <si>
    <t>비 고</t>
    <phoneticPr fontId="3" type="noConversion"/>
  </si>
  <si>
    <t>평택항 자동차 선적 현황(2001년)</t>
    <phoneticPr fontId="3" type="noConversion"/>
  </si>
  <si>
    <t xml:space="preserve">                                                                                                            (단위 : 대수)</t>
    <phoneticPr fontId="3" type="noConversion"/>
  </si>
  <si>
    <t>평택항 자동차 선적 현황(2002년)</t>
    <phoneticPr fontId="3" type="noConversion"/>
  </si>
  <si>
    <t>수정</t>
    <phoneticPr fontId="3" type="noConversion"/>
  </si>
  <si>
    <t xml:space="preserve">                                                                                                            (단위 : 대수)</t>
    <phoneticPr fontId="3" type="noConversion"/>
  </si>
  <si>
    <t xml:space="preserve">          차종
월별</t>
    <phoneticPr fontId="3" type="noConversion"/>
  </si>
  <si>
    <t>계</t>
    <phoneticPr fontId="3" type="noConversion"/>
  </si>
  <si>
    <t>현 대</t>
    <phoneticPr fontId="3" type="noConversion"/>
  </si>
  <si>
    <t>기 아</t>
    <phoneticPr fontId="3" type="noConversion"/>
  </si>
  <si>
    <t>기 타</t>
    <phoneticPr fontId="3" type="noConversion"/>
  </si>
  <si>
    <t>비 고</t>
    <phoneticPr fontId="3" type="noConversion"/>
  </si>
  <si>
    <t>1월</t>
    <phoneticPr fontId="3" type="noConversion"/>
  </si>
  <si>
    <t>2월</t>
    <phoneticPr fontId="3" type="noConversion"/>
  </si>
  <si>
    <t>3월</t>
    <phoneticPr fontId="3" type="noConversion"/>
  </si>
  <si>
    <t>4월</t>
    <phoneticPr fontId="3" type="noConversion"/>
  </si>
  <si>
    <t>5월</t>
    <phoneticPr fontId="3" type="noConversion"/>
  </si>
  <si>
    <t>6월</t>
    <phoneticPr fontId="3" type="noConversion"/>
  </si>
  <si>
    <t>7월</t>
    <phoneticPr fontId="3" type="noConversion"/>
  </si>
  <si>
    <t>8월</t>
    <phoneticPr fontId="3" type="noConversion"/>
  </si>
  <si>
    <t>9월</t>
    <phoneticPr fontId="3" type="noConversion"/>
  </si>
  <si>
    <t>10월</t>
    <phoneticPr fontId="3" type="noConversion"/>
  </si>
  <si>
    <t>11월</t>
    <phoneticPr fontId="3" type="noConversion"/>
  </si>
  <si>
    <t>12월</t>
    <phoneticPr fontId="3" type="noConversion"/>
  </si>
  <si>
    <t>합계</t>
    <phoneticPr fontId="3" type="noConversion"/>
  </si>
  <si>
    <t>평택항 자동차 선적 현황(2003년)</t>
    <phoneticPr fontId="3" type="noConversion"/>
  </si>
  <si>
    <t>현 대</t>
    <phoneticPr fontId="3" type="noConversion"/>
  </si>
  <si>
    <t>기 아</t>
    <phoneticPr fontId="3" type="noConversion"/>
  </si>
  <si>
    <t>기 타</t>
    <phoneticPr fontId="3" type="noConversion"/>
  </si>
  <si>
    <t>비 고</t>
    <phoneticPr fontId="3" type="noConversion"/>
  </si>
  <si>
    <t>1월</t>
    <phoneticPr fontId="3" type="noConversion"/>
  </si>
  <si>
    <t>2월</t>
    <phoneticPr fontId="3" type="noConversion"/>
  </si>
  <si>
    <t>3월</t>
    <phoneticPr fontId="3" type="noConversion"/>
  </si>
  <si>
    <t>4월</t>
    <phoneticPr fontId="3" type="noConversion"/>
  </si>
  <si>
    <t>5월</t>
    <phoneticPr fontId="3" type="noConversion"/>
  </si>
  <si>
    <t>6월</t>
    <phoneticPr fontId="3" type="noConversion"/>
  </si>
  <si>
    <t>7월</t>
    <phoneticPr fontId="3" type="noConversion"/>
  </si>
  <si>
    <t>8월</t>
    <phoneticPr fontId="3" type="noConversion"/>
  </si>
  <si>
    <t>9월</t>
    <phoneticPr fontId="3" type="noConversion"/>
  </si>
  <si>
    <t>10월</t>
    <phoneticPr fontId="3" type="noConversion"/>
  </si>
  <si>
    <t>11월</t>
    <phoneticPr fontId="3" type="noConversion"/>
  </si>
  <si>
    <t>12월</t>
    <phoneticPr fontId="3" type="noConversion"/>
  </si>
  <si>
    <t>합계</t>
    <phoneticPr fontId="3" type="noConversion"/>
  </si>
  <si>
    <t>평택항 자동차 선적 현황(2004년)</t>
    <phoneticPr fontId="3" type="noConversion"/>
  </si>
  <si>
    <t>쌍용</t>
    <phoneticPr fontId="3" type="noConversion"/>
  </si>
  <si>
    <t xml:space="preserve">기타 </t>
    <phoneticPr fontId="3" type="noConversion"/>
  </si>
  <si>
    <t>비고</t>
    <phoneticPr fontId="3" type="noConversion"/>
  </si>
  <si>
    <t xml:space="preserve">       차종
월별</t>
    <phoneticPr fontId="3" type="noConversion"/>
  </si>
  <si>
    <t xml:space="preserve">                                                                                                            (단위 : 대)</t>
    <phoneticPr fontId="3" type="noConversion"/>
  </si>
  <si>
    <t>평택항 자동차 선적 현황(2005년)</t>
    <phoneticPr fontId="3" type="noConversion"/>
  </si>
  <si>
    <t>기아</t>
    <phoneticPr fontId="3" type="noConversion"/>
  </si>
  <si>
    <t>현대</t>
    <phoneticPr fontId="3" type="noConversion"/>
  </si>
  <si>
    <t xml:space="preserve">                                                                                                            (단위 : 대)</t>
    <phoneticPr fontId="3" type="noConversion"/>
  </si>
  <si>
    <t xml:space="preserve">       차종
월별</t>
    <phoneticPr fontId="3" type="noConversion"/>
  </si>
  <si>
    <t>계</t>
    <phoneticPr fontId="3" type="noConversion"/>
  </si>
  <si>
    <t>기아</t>
    <phoneticPr fontId="3" type="noConversion"/>
  </si>
  <si>
    <t>현대</t>
    <phoneticPr fontId="3" type="noConversion"/>
  </si>
  <si>
    <t>쌍용</t>
    <phoneticPr fontId="3" type="noConversion"/>
  </si>
  <si>
    <t xml:space="preserve">기타 </t>
    <phoneticPr fontId="3" type="noConversion"/>
  </si>
  <si>
    <t>비고</t>
    <phoneticPr fontId="3" type="noConversion"/>
  </si>
  <si>
    <t>1월</t>
    <phoneticPr fontId="3" type="noConversion"/>
  </si>
  <si>
    <t>2월</t>
    <phoneticPr fontId="3" type="noConversion"/>
  </si>
  <si>
    <t>3월</t>
    <phoneticPr fontId="3" type="noConversion"/>
  </si>
  <si>
    <t>4월</t>
    <phoneticPr fontId="3" type="noConversion"/>
  </si>
  <si>
    <t>5월</t>
    <phoneticPr fontId="3" type="noConversion"/>
  </si>
  <si>
    <t>6월</t>
    <phoneticPr fontId="3" type="noConversion"/>
  </si>
  <si>
    <t>7월</t>
    <phoneticPr fontId="3" type="noConversion"/>
  </si>
  <si>
    <t>8월</t>
    <phoneticPr fontId="3" type="noConversion"/>
  </si>
  <si>
    <t>9월</t>
    <phoneticPr fontId="3" type="noConversion"/>
  </si>
  <si>
    <t>10월</t>
    <phoneticPr fontId="3" type="noConversion"/>
  </si>
  <si>
    <t>11월</t>
    <phoneticPr fontId="3" type="noConversion"/>
  </si>
  <si>
    <t>12월</t>
    <phoneticPr fontId="3" type="noConversion"/>
  </si>
  <si>
    <t>합계</t>
    <phoneticPr fontId="3" type="noConversion"/>
  </si>
  <si>
    <t>평택항 자동차 선적 현황(2006년)</t>
    <phoneticPr fontId="3" type="noConversion"/>
  </si>
  <si>
    <t>계</t>
    <phoneticPr fontId="3" type="noConversion"/>
  </si>
  <si>
    <t>기아</t>
    <phoneticPr fontId="3" type="noConversion"/>
  </si>
  <si>
    <t>현대</t>
    <phoneticPr fontId="3" type="noConversion"/>
  </si>
  <si>
    <t>쌍용</t>
    <phoneticPr fontId="3" type="noConversion"/>
  </si>
  <si>
    <t xml:space="preserve">기타 </t>
    <phoneticPr fontId="3" type="noConversion"/>
  </si>
  <si>
    <t>비고</t>
    <phoneticPr fontId="3" type="noConversion"/>
  </si>
  <si>
    <t>1월</t>
    <phoneticPr fontId="3" type="noConversion"/>
  </si>
  <si>
    <t>2월</t>
    <phoneticPr fontId="3" type="noConversion"/>
  </si>
  <si>
    <t>3월</t>
    <phoneticPr fontId="3" type="noConversion"/>
  </si>
  <si>
    <t>4월</t>
    <phoneticPr fontId="3" type="noConversion"/>
  </si>
  <si>
    <t>5월</t>
    <phoneticPr fontId="3" type="noConversion"/>
  </si>
  <si>
    <t>6월</t>
    <phoneticPr fontId="3" type="noConversion"/>
  </si>
  <si>
    <t>7월</t>
    <phoneticPr fontId="3" type="noConversion"/>
  </si>
  <si>
    <t>8월</t>
    <phoneticPr fontId="3" type="noConversion"/>
  </si>
  <si>
    <t>9월</t>
    <phoneticPr fontId="3" type="noConversion"/>
  </si>
  <si>
    <t>10월</t>
    <phoneticPr fontId="3" type="noConversion"/>
  </si>
  <si>
    <t>11월</t>
    <phoneticPr fontId="3" type="noConversion"/>
  </si>
  <si>
    <t>12월</t>
    <phoneticPr fontId="3" type="noConversion"/>
  </si>
  <si>
    <t>평택항 자동차 선적 현황(2007년)</t>
    <phoneticPr fontId="3" type="noConversion"/>
  </si>
  <si>
    <t>계</t>
    <phoneticPr fontId="3" type="noConversion"/>
  </si>
  <si>
    <t>기아</t>
    <phoneticPr fontId="3" type="noConversion"/>
  </si>
  <si>
    <t>현대</t>
    <phoneticPr fontId="3" type="noConversion"/>
  </si>
  <si>
    <t>쌍용</t>
    <phoneticPr fontId="3" type="noConversion"/>
  </si>
  <si>
    <t xml:space="preserve">기타 </t>
    <phoneticPr fontId="3" type="noConversion"/>
  </si>
  <si>
    <t>비고</t>
    <phoneticPr fontId="3" type="noConversion"/>
  </si>
  <si>
    <t>1월</t>
    <phoneticPr fontId="3" type="noConversion"/>
  </si>
  <si>
    <t>2월</t>
    <phoneticPr fontId="3" type="noConversion"/>
  </si>
  <si>
    <t>3월</t>
    <phoneticPr fontId="3" type="noConversion"/>
  </si>
  <si>
    <t>4월</t>
    <phoneticPr fontId="3" type="noConversion"/>
  </si>
  <si>
    <t>5월</t>
    <phoneticPr fontId="3" type="noConversion"/>
  </si>
  <si>
    <t>6월</t>
    <phoneticPr fontId="3" type="noConversion"/>
  </si>
  <si>
    <t>7월</t>
    <phoneticPr fontId="3" type="noConversion"/>
  </si>
  <si>
    <t>8월</t>
    <phoneticPr fontId="3" type="noConversion"/>
  </si>
  <si>
    <t>9월</t>
    <phoneticPr fontId="3" type="noConversion"/>
  </si>
  <si>
    <t>10월</t>
    <phoneticPr fontId="3" type="noConversion"/>
  </si>
  <si>
    <t>11월</t>
    <phoneticPr fontId="3" type="noConversion"/>
  </si>
  <si>
    <t>12월</t>
    <phoneticPr fontId="3" type="noConversion"/>
  </si>
  <si>
    <t>평택항 자동차 선적 현황(2008년)</t>
    <phoneticPr fontId="3" type="noConversion"/>
  </si>
  <si>
    <t>대우</t>
    <phoneticPr fontId="3" type="noConversion"/>
  </si>
  <si>
    <t>계</t>
    <phoneticPr fontId="3" type="noConversion"/>
  </si>
  <si>
    <t>기아</t>
    <phoneticPr fontId="3" type="noConversion"/>
  </si>
  <si>
    <t>현대</t>
    <phoneticPr fontId="3" type="noConversion"/>
  </si>
  <si>
    <t>쌍용</t>
    <phoneticPr fontId="3" type="noConversion"/>
  </si>
  <si>
    <t>대우</t>
    <phoneticPr fontId="3" type="noConversion"/>
  </si>
  <si>
    <t xml:space="preserve">기타 </t>
    <phoneticPr fontId="3" type="noConversion"/>
  </si>
  <si>
    <t>1월</t>
    <phoneticPr fontId="3" type="noConversion"/>
  </si>
  <si>
    <t>2월</t>
    <phoneticPr fontId="3" type="noConversion"/>
  </si>
  <si>
    <t>3월</t>
    <phoneticPr fontId="3" type="noConversion"/>
  </si>
  <si>
    <t>4월</t>
    <phoneticPr fontId="3" type="noConversion"/>
  </si>
  <si>
    <t>5월</t>
    <phoneticPr fontId="3" type="noConversion"/>
  </si>
  <si>
    <t>6월</t>
    <phoneticPr fontId="3" type="noConversion"/>
  </si>
  <si>
    <t>7월</t>
    <phoneticPr fontId="3" type="noConversion"/>
  </si>
  <si>
    <t>8월</t>
    <phoneticPr fontId="3" type="noConversion"/>
  </si>
  <si>
    <t>9월</t>
    <phoneticPr fontId="3" type="noConversion"/>
  </si>
  <si>
    <t>10월</t>
    <phoneticPr fontId="3" type="noConversion"/>
  </si>
  <si>
    <t>11월</t>
    <phoneticPr fontId="3" type="noConversion"/>
  </si>
  <si>
    <t>12월</t>
    <phoneticPr fontId="3" type="noConversion"/>
  </si>
  <si>
    <t>중고차</t>
    <phoneticPr fontId="3" type="noConversion"/>
  </si>
  <si>
    <t>수입차</t>
    <phoneticPr fontId="3" type="noConversion"/>
  </si>
  <si>
    <t>환적</t>
    <phoneticPr fontId="3" type="noConversion"/>
  </si>
  <si>
    <t>12월</t>
    <phoneticPr fontId="3" type="noConversion"/>
  </si>
  <si>
    <t>계</t>
    <phoneticPr fontId="3" type="noConversion"/>
  </si>
  <si>
    <t>기아</t>
    <phoneticPr fontId="3" type="noConversion"/>
  </si>
  <si>
    <t>현대</t>
    <phoneticPr fontId="3" type="noConversion"/>
  </si>
  <si>
    <t>쌍용</t>
    <phoneticPr fontId="3" type="noConversion"/>
  </si>
  <si>
    <t>두산</t>
    <phoneticPr fontId="3" type="noConversion"/>
  </si>
  <si>
    <t>대우</t>
    <phoneticPr fontId="3" type="noConversion"/>
  </si>
  <si>
    <t xml:space="preserve">기타 </t>
    <phoneticPr fontId="3" type="noConversion"/>
  </si>
  <si>
    <t>개품화물</t>
    <phoneticPr fontId="3" type="noConversion"/>
  </si>
  <si>
    <t>환적</t>
    <phoneticPr fontId="3" type="noConversion"/>
  </si>
  <si>
    <t>중고차</t>
    <phoneticPr fontId="3" type="noConversion"/>
  </si>
  <si>
    <t>수입차</t>
    <phoneticPr fontId="3" type="noConversion"/>
  </si>
  <si>
    <t>1월</t>
    <phoneticPr fontId="3" type="noConversion"/>
  </si>
  <si>
    <t>2월</t>
    <phoneticPr fontId="3" type="noConversion"/>
  </si>
  <si>
    <t>3월</t>
    <phoneticPr fontId="3" type="noConversion"/>
  </si>
  <si>
    <t>4월</t>
    <phoneticPr fontId="3" type="noConversion"/>
  </si>
  <si>
    <t>5월</t>
    <phoneticPr fontId="3" type="noConversion"/>
  </si>
  <si>
    <t>6월</t>
    <phoneticPr fontId="3" type="noConversion"/>
  </si>
  <si>
    <t>7월</t>
    <phoneticPr fontId="3" type="noConversion"/>
  </si>
  <si>
    <t>8월</t>
    <phoneticPr fontId="3" type="noConversion"/>
  </si>
  <si>
    <t>9월</t>
    <phoneticPr fontId="3" type="noConversion"/>
  </si>
  <si>
    <t>10월</t>
    <phoneticPr fontId="3" type="noConversion"/>
  </si>
  <si>
    <t>11월</t>
    <phoneticPr fontId="3" type="noConversion"/>
  </si>
  <si>
    <t>12월</t>
    <phoneticPr fontId="3" type="noConversion"/>
  </si>
  <si>
    <t>신중장비</t>
    <phoneticPr fontId="3" type="noConversion"/>
  </si>
  <si>
    <t>중고중장비</t>
    <phoneticPr fontId="3" type="noConversion"/>
  </si>
  <si>
    <t>중고중장비</t>
    <phoneticPr fontId="3" type="noConversion"/>
  </si>
  <si>
    <t>신중장비</t>
    <phoneticPr fontId="3" type="noConversion"/>
  </si>
  <si>
    <t>수입차</t>
    <phoneticPr fontId="3" type="noConversion"/>
  </si>
  <si>
    <t>12월</t>
    <phoneticPr fontId="3" type="noConversion"/>
  </si>
  <si>
    <t>11월</t>
    <phoneticPr fontId="3" type="noConversion"/>
  </si>
  <si>
    <t>10월</t>
    <phoneticPr fontId="3" type="noConversion"/>
  </si>
  <si>
    <t>9월</t>
    <phoneticPr fontId="3" type="noConversion"/>
  </si>
  <si>
    <t>8월</t>
    <phoneticPr fontId="3" type="noConversion"/>
  </si>
  <si>
    <t>7월</t>
    <phoneticPr fontId="3" type="noConversion"/>
  </si>
  <si>
    <t>6월</t>
    <phoneticPr fontId="3" type="noConversion"/>
  </si>
  <si>
    <t>5월</t>
    <phoneticPr fontId="3" type="noConversion"/>
  </si>
  <si>
    <t>4월</t>
    <phoneticPr fontId="3" type="noConversion"/>
  </si>
  <si>
    <t>3월</t>
    <phoneticPr fontId="3" type="noConversion"/>
  </si>
  <si>
    <t>1월</t>
    <phoneticPr fontId="3" type="noConversion"/>
  </si>
  <si>
    <t>수입차</t>
    <phoneticPr fontId="3" type="noConversion"/>
  </si>
  <si>
    <t>중고차</t>
    <phoneticPr fontId="3" type="noConversion"/>
  </si>
  <si>
    <t>환적</t>
    <phoneticPr fontId="3" type="noConversion"/>
  </si>
  <si>
    <t>개품화물</t>
    <phoneticPr fontId="3" type="noConversion"/>
  </si>
  <si>
    <t xml:space="preserve">기타 </t>
    <phoneticPr fontId="3" type="noConversion"/>
  </si>
  <si>
    <t>신중장비</t>
    <phoneticPr fontId="3" type="noConversion"/>
  </si>
  <si>
    <t>중고중장비</t>
    <phoneticPr fontId="3" type="noConversion"/>
  </si>
  <si>
    <t>대우</t>
    <phoneticPr fontId="3" type="noConversion"/>
  </si>
  <si>
    <t>두산</t>
    <phoneticPr fontId="3" type="noConversion"/>
  </si>
  <si>
    <t>쌍용</t>
    <phoneticPr fontId="3" type="noConversion"/>
  </si>
  <si>
    <t>현대</t>
    <phoneticPr fontId="3" type="noConversion"/>
  </si>
  <si>
    <t>기아</t>
    <phoneticPr fontId="3" type="noConversion"/>
  </si>
  <si>
    <t>계</t>
    <phoneticPr fontId="3" type="noConversion"/>
  </si>
  <si>
    <t>차  종</t>
    <phoneticPr fontId="3" type="noConversion"/>
  </si>
  <si>
    <t>합 계</t>
    <phoneticPr fontId="3" type="noConversion"/>
  </si>
  <si>
    <t>(단위 : 대)</t>
  </si>
  <si>
    <t>동11번선석
12월 처리물량
643(수입: 428)</t>
    <phoneticPr fontId="3" type="noConversion"/>
  </si>
  <si>
    <t>합  계</t>
    <phoneticPr fontId="3" type="noConversion"/>
  </si>
  <si>
    <t>합  계</t>
    <phoneticPr fontId="3" type="noConversion"/>
  </si>
  <si>
    <t>합  계</t>
    <phoneticPr fontId="3" type="noConversion"/>
  </si>
  <si>
    <t>합  계</t>
    <phoneticPr fontId="3" type="noConversion"/>
  </si>
  <si>
    <t>합  계</t>
    <phoneticPr fontId="3" type="noConversion"/>
  </si>
  <si>
    <t>합  계</t>
    <phoneticPr fontId="3" type="noConversion"/>
  </si>
  <si>
    <t>평택항 자동차 선적 현황(2009년)</t>
    <phoneticPr fontId="3" type="noConversion"/>
  </si>
  <si>
    <t>평택항 자동차 선적 현황(2010년)</t>
    <phoneticPr fontId="3" type="noConversion"/>
  </si>
  <si>
    <t>평택항 자동차 선적 현황(2011년)</t>
    <phoneticPr fontId="3" type="noConversion"/>
  </si>
  <si>
    <t>평택항 자동차 선적 현황(2012년)</t>
    <phoneticPr fontId="3" type="noConversion"/>
  </si>
  <si>
    <t>평택항 자동차 선적 현황(2013년)</t>
    <phoneticPr fontId="3" type="noConversion"/>
  </si>
  <si>
    <t>평택항 자동차 선적 현황(2014년)</t>
    <phoneticPr fontId="3" type="noConversion"/>
  </si>
  <si>
    <t>평택항 자동차 선적 현황(2015년)</t>
    <phoneticPr fontId="3" type="noConversion"/>
  </si>
  <si>
    <t>평택항 자동차 선적 현황(2016년)</t>
    <phoneticPr fontId="3" type="noConversion"/>
  </si>
  <si>
    <t>평택항 자동차 선적 현황(2017년)</t>
    <phoneticPr fontId="3" type="noConversion"/>
  </si>
  <si>
    <t>평택항 자동차 선적 현황(2018년)</t>
    <phoneticPr fontId="3" type="noConversion"/>
  </si>
  <si>
    <t>평택항 자동차 선적 현황(2019년)</t>
    <phoneticPr fontId="3" type="noConversion"/>
  </si>
  <si>
    <t>평택항 자동차 선적 현황(2020년)</t>
    <phoneticPr fontId="3" type="noConversion"/>
  </si>
  <si>
    <t>평택항 자동차 선적 현황(2021년)</t>
    <phoneticPr fontId="3" type="noConversion"/>
  </si>
  <si>
    <t>평택항 자동차 선적 현황(2022년)</t>
    <phoneticPr fontId="3" type="noConversion"/>
  </si>
  <si>
    <t>평택항 자동차 선적 현황(2023년)</t>
    <phoneticPr fontId="3" type="noConversion"/>
  </si>
  <si>
    <t>합  계</t>
    <phoneticPr fontId="3" type="noConversion"/>
  </si>
  <si>
    <t>평택항 자동차 선적 현황(2024년)</t>
    <phoneticPr fontId="3" type="noConversion"/>
  </si>
  <si>
    <t>KG모빌리티</t>
    <phoneticPr fontId="3" type="noConversion"/>
  </si>
  <si>
    <t>차  종</t>
    <phoneticPr fontId="3" type="noConversion"/>
  </si>
  <si>
    <t>평택항 자동차 선적 현황(2025년)</t>
    <phoneticPr fontId="3" type="noConversion"/>
  </si>
  <si>
    <t>차  종</t>
    <phoneticPr fontId="3" type="noConversion"/>
  </si>
  <si>
    <t>계</t>
    <phoneticPr fontId="3" type="noConversion"/>
  </si>
  <si>
    <t>기아</t>
    <phoneticPr fontId="3" type="noConversion"/>
  </si>
  <si>
    <t>현대</t>
    <phoneticPr fontId="3" type="noConversion"/>
  </si>
  <si>
    <t>쌍용</t>
    <phoneticPr fontId="3" type="noConversion"/>
  </si>
  <si>
    <t>두산</t>
    <phoneticPr fontId="3" type="noConversion"/>
  </si>
  <si>
    <t>대우</t>
    <phoneticPr fontId="3" type="noConversion"/>
  </si>
  <si>
    <t>중고중장비</t>
    <phoneticPr fontId="3" type="noConversion"/>
  </si>
  <si>
    <t>신중장비</t>
    <phoneticPr fontId="3" type="noConversion"/>
  </si>
  <si>
    <t xml:space="preserve">기타 </t>
    <phoneticPr fontId="3" type="noConversion"/>
  </si>
  <si>
    <t>개품화물</t>
    <phoneticPr fontId="3" type="noConversion"/>
  </si>
  <si>
    <t>환적</t>
    <phoneticPr fontId="3" type="noConversion"/>
  </si>
  <si>
    <t>중고차</t>
    <phoneticPr fontId="3" type="noConversion"/>
  </si>
  <si>
    <t>수입차</t>
    <phoneticPr fontId="3" type="noConversion"/>
  </si>
  <si>
    <t>합  계</t>
    <phoneticPr fontId="3" type="noConversion"/>
  </si>
  <si>
    <t>1월</t>
    <phoneticPr fontId="3" type="noConversion"/>
  </si>
  <si>
    <t>2월</t>
    <phoneticPr fontId="3" type="noConversion"/>
  </si>
  <si>
    <t>3월</t>
    <phoneticPr fontId="3" type="noConversion"/>
  </si>
  <si>
    <t>4월</t>
    <phoneticPr fontId="3" type="noConversion"/>
  </si>
  <si>
    <t>5월</t>
    <phoneticPr fontId="3" type="noConversion"/>
  </si>
  <si>
    <t>6월</t>
    <phoneticPr fontId="3" type="noConversion"/>
  </si>
  <si>
    <t>-</t>
    <phoneticPr fontId="3" type="noConversion"/>
  </si>
  <si>
    <t>7월</t>
    <phoneticPr fontId="3" type="noConversion"/>
  </si>
  <si>
    <t>8월</t>
    <phoneticPr fontId="3" type="noConversion"/>
  </si>
  <si>
    <t>9월</t>
    <phoneticPr fontId="3" type="noConversion"/>
  </si>
  <si>
    <t>10월</t>
    <phoneticPr fontId="3" type="noConversion"/>
  </si>
  <si>
    <t>11월</t>
    <phoneticPr fontId="3" type="noConversion"/>
  </si>
  <si>
    <t>12월</t>
    <phoneticPr fontId="3" type="noConversion"/>
  </si>
  <si>
    <t>-</t>
    <phoneticPr fontId="3" type="noConversion"/>
  </si>
  <si>
    <t>평택항 자동차 선적 현황(2026년)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</si>
</sst>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돋움"/>
      <family val="3"/>
      <charset val="129"/>
    </font>
    <font>
      <b/>
      <sz val="14"/>
      <name val="돋움"/>
      <family val="3"/>
      <charset val="129"/>
    </font>
    <font>
      <b/>
      <u/>
      <sz val="20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sz val="12"/>
      <color indexed="10"/>
      <name val="돋움"/>
      <family val="3"/>
      <charset val="129"/>
    </font>
    <font>
      <sz val="20"/>
      <name val="HY헤드라인M"/>
      <family val="1"/>
      <charset val="129"/>
    </font>
    <font>
      <u/>
      <sz val="20"/>
      <name val="HY헤드라인M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/>
    <xf numFmtId="41" fontId="2" fillId="0" borderId="0" applyFont="0" applyFill="0" applyBorder="0" applyAlignment="0" applyProtection="0"/>
    <xf numFmtId="0" fontId="1" fillId="0" borderId="0">
      <alignment vertical="center"/>
    </xf>
    <xf numFmtId="0" fontId="2" fillId="0" borderId="0"/>
    <xf numFmtId="41" fontId="2" fillId="0" borderId="0" applyFont="0" applyFill="0" applyBorder="0" applyAlignment="0" applyProtection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78">
    <xf numFmtId="0" fontId="0" fillId="0" borderId="0" xfId="0"/>
    <xf numFmtId="0" fontId="4" fillId="0" borderId="1" xfId="0" applyFont="1" applyBorder="1" applyAlignment="1">
      <alignment horizontal="center" vertical="center"/>
    </xf>
    <xf numFmtId="41" fontId="4" fillId="0" borderId="1" xfId="0" applyNumberFormat="1" applyFont="1" applyBorder="1" applyAlignment="1">
      <alignment vertical="center"/>
    </xf>
    <xf numFmtId="41" fontId="4" fillId="0" borderId="1" xfId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5" fillId="0" borderId="2" xfId="0" applyFont="1" applyBorder="1" applyAlignment="1">
      <alignment wrapText="1"/>
    </xf>
    <xf numFmtId="0" fontId="5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41" fontId="4" fillId="2" borderId="1" xfId="1" applyFont="1" applyFill="1" applyBorder="1" applyAlignment="1">
      <alignment vertical="center"/>
    </xf>
    <xf numFmtId="0" fontId="4" fillId="2" borderId="1" xfId="0" applyFont="1" applyFill="1" applyBorder="1" applyAlignment="1">
      <alignment vertical="center"/>
    </xf>
    <xf numFmtId="0" fontId="0" fillId="0" borderId="0" xfId="0" applyAlignment="1">
      <alignment shrinkToFit="1"/>
    </xf>
    <xf numFmtId="41" fontId="4" fillId="0" borderId="1" xfId="0" applyNumberFormat="1" applyFont="1" applyBorder="1" applyAlignment="1">
      <alignment vertical="center" shrinkToFit="1"/>
    </xf>
    <xf numFmtId="41" fontId="4" fillId="0" borderId="1" xfId="1" applyFont="1" applyBorder="1" applyAlignment="1">
      <alignment vertical="center" shrinkToFit="1"/>
    </xf>
    <xf numFmtId="0" fontId="0" fillId="0" borderId="1" xfId="0" applyBorder="1" applyAlignment="1">
      <alignment shrinkToFit="1"/>
    </xf>
    <xf numFmtId="0" fontId="4" fillId="2" borderId="1" xfId="0" applyFont="1" applyFill="1" applyBorder="1" applyAlignment="1">
      <alignment horizontal="center" vertical="center" shrinkToFit="1"/>
    </xf>
    <xf numFmtId="41" fontId="4" fillId="2" borderId="1" xfId="1" applyFont="1" applyFill="1" applyBorder="1" applyAlignment="1">
      <alignment vertical="center" shrinkToFit="1"/>
    </xf>
    <xf numFmtId="0" fontId="5" fillId="2" borderId="2" xfId="0" applyFont="1" applyFill="1" applyBorder="1" applyAlignment="1">
      <alignment wrapText="1"/>
    </xf>
    <xf numFmtId="0" fontId="5" fillId="2" borderId="1" xfId="0" applyFont="1" applyFill="1" applyBorder="1" applyAlignment="1">
      <alignment horizontal="center" vertical="center" shrinkToFit="1"/>
    </xf>
    <xf numFmtId="41" fontId="4" fillId="0" borderId="1" xfId="0" applyNumberFormat="1" applyFont="1" applyBorder="1" applyAlignment="1">
      <alignment horizontal="right" vertical="center" indent="1" shrinkToFit="1"/>
    </xf>
    <xf numFmtId="0" fontId="4" fillId="0" borderId="1" xfId="0" applyFont="1" applyBorder="1" applyAlignment="1">
      <alignment horizontal="right" vertical="center" indent="1" shrinkToFit="1"/>
    </xf>
    <xf numFmtId="41" fontId="0" fillId="0" borderId="0" xfId="0" applyNumberFormat="1"/>
    <xf numFmtId="41" fontId="7" fillId="0" borderId="1" xfId="0" applyNumberFormat="1" applyFont="1" applyBorder="1" applyAlignment="1">
      <alignment horizontal="center" vertical="center" shrinkToFit="1"/>
    </xf>
    <xf numFmtId="41" fontId="0" fillId="0" borderId="0" xfId="0" applyNumberFormat="1" applyAlignment="1">
      <alignment shrinkToFit="1"/>
    </xf>
    <xf numFmtId="0" fontId="0" fillId="0" borderId="3" xfId="0" applyBorder="1" applyAlignment="1"/>
    <xf numFmtId="0" fontId="6" fillId="0" borderId="0" xfId="0" applyFont="1" applyAlignment="1">
      <alignment horizontal="center" vertical="center"/>
    </xf>
    <xf numFmtId="41" fontId="7" fillId="0" borderId="1" xfId="0" applyNumberFormat="1" applyFont="1" applyBorder="1" applyAlignment="1">
      <alignment vertical="center" shrinkToFit="1"/>
    </xf>
    <xf numFmtId="41" fontId="7" fillId="0" borderId="1" xfId="1" applyFont="1" applyBorder="1" applyAlignment="1">
      <alignment vertical="center" shrinkToFit="1"/>
    </xf>
    <xf numFmtId="41" fontId="7" fillId="0" borderId="1" xfId="0" applyNumberFormat="1" applyFont="1" applyBorder="1" applyAlignment="1">
      <alignment horizontal="right" vertical="center" indent="1" shrinkToFit="1"/>
    </xf>
    <xf numFmtId="0" fontId="7" fillId="0" borderId="1" xfId="0" applyFont="1" applyBorder="1" applyAlignment="1">
      <alignment shrinkToFit="1"/>
    </xf>
    <xf numFmtId="41" fontId="9" fillId="0" borderId="1" xfId="0" applyNumberFormat="1" applyFont="1" applyBorder="1" applyAlignment="1">
      <alignment horizontal="right" vertical="center" indent="1" shrinkToFit="1"/>
    </xf>
    <xf numFmtId="0" fontId="9" fillId="0" borderId="1" xfId="0" applyFont="1" applyBorder="1" applyAlignment="1">
      <alignment wrapText="1" shrinkToFit="1"/>
    </xf>
    <xf numFmtId="0" fontId="0" fillId="0" borderId="3" xfId="0" applyBorder="1" applyAlignment="1">
      <alignment horizontal="right"/>
    </xf>
    <xf numFmtId="41" fontId="7" fillId="0" borderId="1" xfId="1" applyFont="1" applyBorder="1" applyAlignment="1">
      <alignment horizontal="center" vertical="center" shrinkToFit="1"/>
    </xf>
    <xf numFmtId="41" fontId="9" fillId="0" borderId="1" xfId="0" applyNumberFormat="1" applyFont="1" applyBorder="1" applyAlignment="1">
      <alignment horizontal="center" vertical="center" shrinkToFit="1"/>
    </xf>
    <xf numFmtId="0" fontId="6" fillId="0" borderId="0" xfId="0" applyFont="1" applyAlignment="1">
      <alignment vertical="center"/>
    </xf>
    <xf numFmtId="0" fontId="0" fillId="0" borderId="0" xfId="0" applyFont="1"/>
    <xf numFmtId="0" fontId="7" fillId="0" borderId="0" xfId="0" applyFont="1"/>
    <xf numFmtId="41" fontId="7" fillId="0" borderId="1" xfId="0" applyNumberFormat="1" applyFont="1" applyBorder="1" applyAlignment="1">
      <alignment horizontal="right" vertical="center" shrinkToFit="1"/>
    </xf>
    <xf numFmtId="41" fontId="7" fillId="0" borderId="1" xfId="1" applyFont="1" applyBorder="1" applyAlignment="1">
      <alignment horizontal="right" vertical="center" shrinkToFit="1"/>
    </xf>
    <xf numFmtId="41" fontId="9" fillId="0" borderId="1" xfId="0" applyNumberFormat="1" applyFont="1" applyBorder="1" applyAlignment="1">
      <alignment horizontal="right" vertical="center" shrinkToFit="1"/>
    </xf>
    <xf numFmtId="41" fontId="7" fillId="0" borderId="1" xfId="1" applyFont="1" applyBorder="1" applyAlignment="1">
      <alignment horizontal="right" vertical="center" wrapText="1" shrinkToFit="1"/>
    </xf>
    <xf numFmtId="41" fontId="7" fillId="0" borderId="1" xfId="4" applyFont="1" applyBorder="1" applyAlignment="1">
      <alignment horizontal="center" vertical="center" shrinkToFit="1"/>
    </xf>
    <xf numFmtId="41" fontId="7" fillId="0" borderId="1" xfId="1" applyFont="1" applyFill="1" applyBorder="1" applyAlignment="1">
      <alignment horizontal="center" vertical="center" shrinkToFit="1"/>
    </xf>
    <xf numFmtId="41" fontId="7" fillId="0" borderId="1" xfId="0" applyNumberFormat="1" applyFont="1" applyFill="1" applyBorder="1" applyAlignment="1">
      <alignment horizontal="center" vertical="center" shrinkToFit="1"/>
    </xf>
    <xf numFmtId="41" fontId="7" fillId="0" borderId="1" xfId="1" applyNumberFormat="1" applyFont="1" applyFill="1" applyBorder="1" applyAlignment="1">
      <alignment horizontal="center" vertical="center" shrinkToFit="1"/>
    </xf>
    <xf numFmtId="41" fontId="7" fillId="0" borderId="1" xfId="4" applyNumberFormat="1" applyFont="1" applyBorder="1" applyAlignment="1">
      <alignment horizontal="center" vertical="center" shrinkToFit="1"/>
    </xf>
    <xf numFmtId="41" fontId="7" fillId="0" borderId="1" xfId="1" applyNumberFormat="1" applyFont="1" applyBorder="1" applyAlignment="1">
      <alignment horizontal="center" vertical="center" shrinkToFit="1"/>
    </xf>
    <xf numFmtId="41" fontId="7" fillId="0" borderId="1" xfId="0" applyNumberFormat="1" applyFont="1" applyBorder="1" applyAlignment="1">
      <alignment horizontal="right" vertical="center"/>
    </xf>
    <xf numFmtId="41" fontId="7" fillId="0" borderId="1" xfId="0" applyNumberFormat="1" applyFont="1" applyFill="1" applyBorder="1" applyAlignment="1">
      <alignment horizontal="right" vertical="center"/>
    </xf>
    <xf numFmtId="41" fontId="7" fillId="0" borderId="4" xfId="0" applyNumberFormat="1" applyFont="1" applyBorder="1" applyAlignment="1">
      <alignment horizontal="right" vertical="center"/>
    </xf>
    <xf numFmtId="41" fontId="7" fillId="0" borderId="1" xfId="1" applyNumberFormat="1" applyFont="1" applyFill="1" applyBorder="1" applyAlignment="1">
      <alignment horizontal="right" vertical="center" shrinkToFit="1"/>
    </xf>
    <xf numFmtId="41" fontId="7" fillId="0" borderId="1" xfId="0" applyNumberFormat="1" applyFont="1" applyFill="1" applyBorder="1" applyAlignment="1">
      <alignment horizontal="right" vertical="center" shrinkToFit="1"/>
    </xf>
    <xf numFmtId="0" fontId="8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shrinkToFit="1"/>
    </xf>
    <xf numFmtId="41" fontId="8" fillId="3" borderId="1" xfId="0" applyNumberFormat="1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41" fontId="8" fillId="3" borderId="1" xfId="1" applyFont="1" applyFill="1" applyBorder="1" applyAlignment="1">
      <alignment horizontal="right" vertical="center" shrinkToFit="1"/>
    </xf>
    <xf numFmtId="0" fontId="7" fillId="3" borderId="4" xfId="0" applyFont="1" applyFill="1" applyBorder="1" applyAlignment="1">
      <alignment horizontal="center" vertical="center" shrinkToFit="1"/>
    </xf>
    <xf numFmtId="41" fontId="7" fillId="0" borderId="4" xfId="0" applyNumberFormat="1" applyFont="1" applyBorder="1" applyAlignment="1">
      <alignment horizontal="center" vertical="center" shrinkToFit="1"/>
    </xf>
    <xf numFmtId="41" fontId="7" fillId="0" borderId="4" xfId="1" applyNumberFormat="1" applyFont="1" applyBorder="1" applyAlignment="1">
      <alignment horizontal="center" vertical="center" shrinkToFit="1"/>
    </xf>
    <xf numFmtId="41" fontId="7" fillId="0" borderId="4" xfId="0" applyNumberFormat="1" applyFont="1" applyFill="1" applyBorder="1" applyAlignment="1">
      <alignment horizontal="right" vertical="center"/>
    </xf>
    <xf numFmtId="0" fontId="7" fillId="3" borderId="5" xfId="0" applyFont="1" applyFill="1" applyBorder="1" applyAlignment="1">
      <alignment horizontal="center" vertical="center" shrinkToFit="1"/>
    </xf>
    <xf numFmtId="41" fontId="7" fillId="0" borderId="5" xfId="0" applyNumberFormat="1" applyFont="1" applyBorder="1" applyAlignment="1">
      <alignment horizontal="center" vertical="center" shrinkToFit="1"/>
    </xf>
    <xf numFmtId="41" fontId="7" fillId="0" borderId="5" xfId="1" applyNumberFormat="1" applyFont="1" applyBorder="1" applyAlignment="1">
      <alignment horizontal="center" vertical="center" shrinkToFit="1"/>
    </xf>
    <xf numFmtId="41" fontId="7" fillId="0" borderId="5" xfId="0" applyNumberFormat="1" applyFont="1" applyBorder="1" applyAlignment="1">
      <alignment horizontal="right" vertical="center"/>
    </xf>
    <xf numFmtId="41" fontId="7" fillId="0" borderId="5" xfId="0" applyNumberFormat="1" applyFont="1" applyFill="1" applyBorder="1" applyAlignment="1">
      <alignment horizontal="right" vertical="center"/>
    </xf>
    <xf numFmtId="41" fontId="7" fillId="0" borderId="6" xfId="0" applyNumberFormat="1" applyFont="1" applyBorder="1" applyAlignment="1">
      <alignment horizontal="right" vertical="center"/>
    </xf>
    <xf numFmtId="41" fontId="7" fillId="4" borderId="1" xfId="1" applyNumberFormat="1" applyFont="1" applyFill="1" applyBorder="1" applyAlignment="1">
      <alignment horizontal="center" vertical="center" shrinkToFit="1"/>
    </xf>
    <xf numFmtId="41" fontId="7" fillId="4" borderId="1" xfId="0" applyNumberFormat="1" applyFont="1" applyFill="1" applyBorder="1" applyAlignment="1">
      <alignment horizontal="center" vertical="center" shrinkToFit="1"/>
    </xf>
    <xf numFmtId="41" fontId="7" fillId="4" borderId="4" xfId="0" applyNumberFormat="1" applyFont="1" applyFill="1" applyBorder="1" applyAlignment="1">
      <alignment horizontal="right" vertical="center"/>
    </xf>
    <xf numFmtId="41" fontId="7" fillId="4" borderId="1" xfId="0" applyNumberFormat="1" applyFont="1" applyFill="1" applyBorder="1" applyAlignment="1">
      <alignment horizontal="right" vertical="center"/>
    </xf>
    <xf numFmtId="0" fontId="6" fillId="0" borderId="0" xfId="0" applyFont="1" applyAlignment="1">
      <alignment horizontal="center"/>
    </xf>
    <xf numFmtId="0" fontId="0" fillId="0" borderId="3" xfId="0" applyBorder="1" applyAlignment="1"/>
    <xf numFmtId="0" fontId="6" fillId="0" borderId="0" xfId="0" applyFont="1" applyAlignment="1">
      <alignment horizontal="center" vertical="center"/>
    </xf>
    <xf numFmtId="0" fontId="0" fillId="0" borderId="3" xfId="0" applyBorder="1" applyAlignment="1">
      <alignment horizont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41" fontId="0" fillId="0" borderId="3" xfId="0" applyNumberFormat="1" applyBorder="1" applyAlignment="1">
      <alignment horizontal="center"/>
    </xf>
  </cellXfs>
  <cellStyles count="7">
    <cellStyle name="쉼표 [0]" xfId="1" builtinId="6"/>
    <cellStyle name="쉼표 [0] 2" xfId="4"/>
    <cellStyle name="쉼표 [0] 3" xfId="6"/>
    <cellStyle name="표준" xfId="0" builtinId="0"/>
    <cellStyle name="표준 2" xfId="3"/>
    <cellStyle name="표준 3" xfId="5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externalLink" Target="externalLinks/externalLink13.xml"/><Relationship Id="rId21" Type="http://schemas.openxmlformats.org/officeDocument/2006/relationships/worksheet" Target="worksheets/sheet21.xml"/><Relationship Id="rId34" Type="http://schemas.openxmlformats.org/officeDocument/2006/relationships/externalLink" Target="externalLinks/externalLink8.xml"/><Relationship Id="rId42" Type="http://schemas.openxmlformats.org/officeDocument/2006/relationships/externalLink" Target="externalLinks/externalLink16.xml"/><Relationship Id="rId47" Type="http://schemas.openxmlformats.org/officeDocument/2006/relationships/externalLink" Target="externalLinks/externalLink21.xml"/><Relationship Id="rId50" Type="http://schemas.openxmlformats.org/officeDocument/2006/relationships/externalLink" Target="externalLinks/externalLink24.xml"/><Relationship Id="rId55" Type="http://schemas.openxmlformats.org/officeDocument/2006/relationships/externalLink" Target="externalLinks/externalLink29.xml"/><Relationship Id="rId63" Type="http://schemas.openxmlformats.org/officeDocument/2006/relationships/externalLink" Target="externalLinks/externalLink37.xml"/><Relationship Id="rId68" Type="http://schemas.openxmlformats.org/officeDocument/2006/relationships/externalLink" Target="externalLinks/externalLink42.xml"/><Relationship Id="rId76" Type="http://schemas.openxmlformats.org/officeDocument/2006/relationships/externalLink" Target="externalLinks/externalLink50.xml"/><Relationship Id="rId84" Type="http://schemas.openxmlformats.org/officeDocument/2006/relationships/externalLink" Target="externalLinks/externalLink58.xml"/><Relationship Id="rId7" Type="http://schemas.openxmlformats.org/officeDocument/2006/relationships/worksheet" Target="worksheets/sheet7.xml"/><Relationship Id="rId71" Type="http://schemas.openxmlformats.org/officeDocument/2006/relationships/externalLink" Target="externalLinks/externalLink4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externalLink" Target="externalLinks/externalLink3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externalLink" Target="externalLinks/externalLink6.xml"/><Relationship Id="rId37" Type="http://schemas.openxmlformats.org/officeDocument/2006/relationships/externalLink" Target="externalLinks/externalLink11.xml"/><Relationship Id="rId40" Type="http://schemas.openxmlformats.org/officeDocument/2006/relationships/externalLink" Target="externalLinks/externalLink14.xml"/><Relationship Id="rId45" Type="http://schemas.openxmlformats.org/officeDocument/2006/relationships/externalLink" Target="externalLinks/externalLink19.xml"/><Relationship Id="rId53" Type="http://schemas.openxmlformats.org/officeDocument/2006/relationships/externalLink" Target="externalLinks/externalLink27.xml"/><Relationship Id="rId58" Type="http://schemas.openxmlformats.org/officeDocument/2006/relationships/externalLink" Target="externalLinks/externalLink32.xml"/><Relationship Id="rId66" Type="http://schemas.openxmlformats.org/officeDocument/2006/relationships/externalLink" Target="externalLinks/externalLink40.xml"/><Relationship Id="rId74" Type="http://schemas.openxmlformats.org/officeDocument/2006/relationships/externalLink" Target="externalLinks/externalLink48.xml"/><Relationship Id="rId79" Type="http://schemas.openxmlformats.org/officeDocument/2006/relationships/externalLink" Target="externalLinks/externalLink53.xml"/><Relationship Id="rId8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61" Type="http://schemas.openxmlformats.org/officeDocument/2006/relationships/externalLink" Target="externalLinks/externalLink35.xml"/><Relationship Id="rId82" Type="http://schemas.openxmlformats.org/officeDocument/2006/relationships/externalLink" Target="externalLinks/externalLink56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externalLink" Target="externalLinks/externalLink1.xml"/><Relationship Id="rId30" Type="http://schemas.openxmlformats.org/officeDocument/2006/relationships/externalLink" Target="externalLinks/externalLink4.xml"/><Relationship Id="rId35" Type="http://schemas.openxmlformats.org/officeDocument/2006/relationships/externalLink" Target="externalLinks/externalLink9.xml"/><Relationship Id="rId43" Type="http://schemas.openxmlformats.org/officeDocument/2006/relationships/externalLink" Target="externalLinks/externalLink17.xml"/><Relationship Id="rId48" Type="http://schemas.openxmlformats.org/officeDocument/2006/relationships/externalLink" Target="externalLinks/externalLink22.xml"/><Relationship Id="rId56" Type="http://schemas.openxmlformats.org/officeDocument/2006/relationships/externalLink" Target="externalLinks/externalLink30.xml"/><Relationship Id="rId64" Type="http://schemas.openxmlformats.org/officeDocument/2006/relationships/externalLink" Target="externalLinks/externalLink38.xml"/><Relationship Id="rId69" Type="http://schemas.openxmlformats.org/officeDocument/2006/relationships/externalLink" Target="externalLinks/externalLink43.xml"/><Relationship Id="rId77" Type="http://schemas.openxmlformats.org/officeDocument/2006/relationships/externalLink" Target="externalLinks/externalLink51.xml"/><Relationship Id="rId8" Type="http://schemas.openxmlformats.org/officeDocument/2006/relationships/worksheet" Target="worksheets/sheet8.xml"/><Relationship Id="rId51" Type="http://schemas.openxmlformats.org/officeDocument/2006/relationships/externalLink" Target="externalLinks/externalLink25.xml"/><Relationship Id="rId72" Type="http://schemas.openxmlformats.org/officeDocument/2006/relationships/externalLink" Target="externalLinks/externalLink46.xml"/><Relationship Id="rId80" Type="http://schemas.openxmlformats.org/officeDocument/2006/relationships/externalLink" Target="externalLinks/externalLink54.xml"/><Relationship Id="rId85" Type="http://schemas.openxmlformats.org/officeDocument/2006/relationships/theme" Target="theme/theme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externalLink" Target="externalLinks/externalLink7.xml"/><Relationship Id="rId38" Type="http://schemas.openxmlformats.org/officeDocument/2006/relationships/externalLink" Target="externalLinks/externalLink12.xml"/><Relationship Id="rId46" Type="http://schemas.openxmlformats.org/officeDocument/2006/relationships/externalLink" Target="externalLinks/externalLink20.xml"/><Relationship Id="rId59" Type="http://schemas.openxmlformats.org/officeDocument/2006/relationships/externalLink" Target="externalLinks/externalLink33.xml"/><Relationship Id="rId67" Type="http://schemas.openxmlformats.org/officeDocument/2006/relationships/externalLink" Target="externalLinks/externalLink41.xml"/><Relationship Id="rId20" Type="http://schemas.openxmlformats.org/officeDocument/2006/relationships/worksheet" Target="worksheets/sheet20.xml"/><Relationship Id="rId41" Type="http://schemas.openxmlformats.org/officeDocument/2006/relationships/externalLink" Target="externalLinks/externalLink15.xml"/><Relationship Id="rId54" Type="http://schemas.openxmlformats.org/officeDocument/2006/relationships/externalLink" Target="externalLinks/externalLink28.xml"/><Relationship Id="rId62" Type="http://schemas.openxmlformats.org/officeDocument/2006/relationships/externalLink" Target="externalLinks/externalLink36.xml"/><Relationship Id="rId70" Type="http://schemas.openxmlformats.org/officeDocument/2006/relationships/externalLink" Target="externalLinks/externalLink44.xml"/><Relationship Id="rId75" Type="http://schemas.openxmlformats.org/officeDocument/2006/relationships/externalLink" Target="externalLinks/externalLink49.xml"/><Relationship Id="rId83" Type="http://schemas.openxmlformats.org/officeDocument/2006/relationships/externalLink" Target="externalLinks/externalLink57.xml"/><Relationship Id="rId88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externalLink" Target="externalLinks/externalLink2.xml"/><Relationship Id="rId36" Type="http://schemas.openxmlformats.org/officeDocument/2006/relationships/externalLink" Target="externalLinks/externalLink10.xml"/><Relationship Id="rId49" Type="http://schemas.openxmlformats.org/officeDocument/2006/relationships/externalLink" Target="externalLinks/externalLink23.xml"/><Relationship Id="rId57" Type="http://schemas.openxmlformats.org/officeDocument/2006/relationships/externalLink" Target="externalLinks/externalLink31.xml"/><Relationship Id="rId10" Type="http://schemas.openxmlformats.org/officeDocument/2006/relationships/worksheet" Target="worksheets/sheet10.xml"/><Relationship Id="rId31" Type="http://schemas.openxmlformats.org/officeDocument/2006/relationships/externalLink" Target="externalLinks/externalLink5.xml"/><Relationship Id="rId44" Type="http://schemas.openxmlformats.org/officeDocument/2006/relationships/externalLink" Target="externalLinks/externalLink18.xml"/><Relationship Id="rId52" Type="http://schemas.openxmlformats.org/officeDocument/2006/relationships/externalLink" Target="externalLinks/externalLink26.xml"/><Relationship Id="rId60" Type="http://schemas.openxmlformats.org/officeDocument/2006/relationships/externalLink" Target="externalLinks/externalLink34.xml"/><Relationship Id="rId65" Type="http://schemas.openxmlformats.org/officeDocument/2006/relationships/externalLink" Target="externalLinks/externalLink39.xml"/><Relationship Id="rId73" Type="http://schemas.openxmlformats.org/officeDocument/2006/relationships/externalLink" Target="externalLinks/externalLink47.xml"/><Relationship Id="rId78" Type="http://schemas.openxmlformats.org/officeDocument/2006/relationships/externalLink" Target="externalLinks/externalLink52.xml"/><Relationship Id="rId81" Type="http://schemas.openxmlformats.org/officeDocument/2006/relationships/externalLink" Target="externalLinks/externalLink55.xml"/><Relationship Id="rId86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MOF\Desktop\&#53685;&#44228;\2019\12&#50900;%20&#53685;&#44228;\2019&#45380;%207&#50900;%20&#51088;&#46041;&#52264;%20&#49688;&#52636;&#51077;%20&#44396;&#48516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MOF\Desktop\&#53685;&#44228;\2019\12&#50900;%20&#53685;&#44228;\2019&#45380;%209&#50900;%20&#51088;&#46041;&#52264;%20&#49688;&#52636;&#51077;%20&#54788;&#54889;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MOF\Desktop\&#53685;&#44228;\2019\12&#50900;%20&#53685;&#44228;\2019&#45380;%2010&#50900;%20&#51088;&#46041;&#52264;%20&#49688;&#52636;&#51077;%20&#54788;&#54889;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MOF\Desktop\&#53685;&#44228;\2019\12&#50900;%20&#53685;&#44228;\2019&#45380;%2011&#50900;%20&#51088;&#46041;&#52264;%20&#49688;&#52636;&#51077;%20&#54788;&#54889;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MOF\Desktop\&#53685;&#44228;\2019\12&#50900;%20&#53685;&#44228;\2019&#45380;%2012&#50900;%20&#51088;&#46041;&#52264;%20&#49688;&#52636;&#51077;%20&#54788;&#54889;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MOF\Desktop\&#53685;&#44228;\2020\1&#50900;%20&#53685;&#44228;\2020&#45380;%201&#50900;%20&#51088;&#46041;&#52264;%20&#49688;&#52636;&#51077;%20&#44396;&#48516;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MOF\Desktop\&#53685;&#44228;\2020\1&#50900;%20&#53685;&#44228;\2020&#45380;%201&#50900;%20&#51088;&#46041;&#52264;%20&#49688;&#52636;&#51077;%20&#54788;&#54889;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0&#45380;%202&#50900;%20&#51088;&#46041;&#52264;%20&#49688;&#52636;&#51077;%20&#44396;&#48516;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0&#45380;%202&#50900;%20&#51088;&#46041;&#52264;%20&#49688;&#52636;&#51077;%20&#54788;&#54889;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0&#45380;%203&#50900;%20&#51088;&#46041;&#52264;%20&#49688;&#52636;&#51077;%20&#44396;&#48516;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0&#45380;%203&#50900;%20&#51088;&#46041;&#52264;%20&#49688;&#52636;&#51077;%20&#54788;&#54889;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0&#45380;%204&#50900;%20&#51088;&#46041;&#52264;%20&#49688;&#52636;&#51077;%20&#44396;&#48516;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0&#45380;%204&#50900;%20&#51088;&#46041;&#52264;%20&#49688;&#52636;&#51077;%20&#54788;&#54889;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0&#45380;%205&#50900;%20&#51088;&#46041;&#52264;%20&#49688;&#52636;&#51077;%20&#44396;&#48516;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0&#45380;%205&#50900;%20&#51088;&#46041;&#52264;%20&#49688;&#52636;&#51077;%20&#54788;&#54889;.xlsx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0&#45380;%206&#50900;%20&#51088;&#46041;&#52264;%20&#49688;&#52636;&#51077;%20&#44396;&#48516;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0&#45380;%206&#50900;%20&#51088;&#46041;&#52264;%20&#49688;&#52636;&#51077;%20&#54788;&#54889;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0&#45380;%207&#50900;%20&#51088;&#46041;&#52264;%20&#49688;&#52636;&#51077;%20&#44396;&#48516;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0&#45380;%207&#50900;%20&#51088;&#46041;&#52264;%20&#49688;&#52636;&#51077;%20&#54788;&#54889;.xlsx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0&#45380;%208&#50900;%20&#51088;&#46041;&#52264;%20&#49688;&#52636;&#51077;%20&#44396;&#48516;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0&#45380;%208&#50900;%20&#51088;&#46041;&#52264;%20&#49688;&#52636;&#51077;%20&#54788;&#54889;.xlsx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0&#45380;%209&#50900;%20&#51088;&#46041;&#52264;%20&#49688;&#52636;&#51077;%20&#44396;&#48516;.xlsx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0&#45380;%209&#50900;%20&#51088;&#46041;&#52264;%20&#49688;&#52636;&#51077;%20&#54788;&#54889;.xlsx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0&#45380;%2010&#50900;%20&#51088;&#46041;&#52264;%20&#49688;&#52636;&#51077;%20&#44396;&#48516;.xlsx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0&#45380;%2010&#50900;%20&#51088;&#46041;&#52264;%20&#49688;&#52636;&#51077;%20&#54788;&#54889;.xlsx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0&#45380;%2011&#50900;%20&#51088;&#46041;&#52264;%20&#49688;&#52636;&#51077;%20&#44396;&#48516;.xlsx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0&#45380;%2011&#50900;%20&#51088;&#46041;&#52264;%20&#49688;&#52636;&#51077;%20&#54788;&#54889;.xlsx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0&#45380;%2012&#50900;%20&#51088;&#46041;&#52264;%20&#49688;&#52636;&#51077;%20&#44396;&#48516;.xlsx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0&#45380;%2012&#50900;%20&#51088;&#46041;&#52264;%20&#49688;&#52636;&#51077;%20&#54788;&#54889;.xlsx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%201&#50900;%20&#51088;&#46041;&#52264;%20&#49688;&#52636;&#51077;%20&#44396;&#48516;.xlsx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%201&#50900;%20&#51088;&#46041;&#52264;%20&#49688;&#52636;&#51077;%20&#54788;&#54889;.xlsx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%202&#50900;%20&#51088;&#46041;&#52264;%20&#49688;&#52636;&#51077;%20&#44396;&#48516;.xlsx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%202&#50900;%20&#51088;&#46041;&#52264;%20&#49688;&#52636;&#51077;%20&#54788;&#54889;.xlsx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%203&#50900;%20&#51088;&#46041;&#52264;%20&#49688;&#52636;&#51077;%20&#44396;&#48516;.xlsx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%203&#50900;%20&#51088;&#46041;&#52264;%20&#49688;&#52636;&#51077;%20&#54788;&#54889;.xlsx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%2043&#50900;%20&#51088;&#46041;&#52264;%20&#49688;&#52636;&#51077;%20&#44396;&#48516;.xlsx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%204&#50900;%20&#51088;&#46041;&#52264;%20&#49688;&#52636;&#51077;%20&#44396;&#48516;.xlsx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%204&#50900;%20&#51088;&#46041;&#52264;%20&#49688;&#52636;&#51077;%20&#54788;&#54889;.xlsx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4&#50900;%20&#51088;&#46041;&#52264;%20&#49688;&#52636;&#51077;%20&#44396;&#48516;.xlsx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MOF\Desktop\&#53685;&#44228;\2021\4&#50900;%20&#53685;&#44228;\2021&#45380;%204&#50900;%20&#51088;&#46041;&#52264;%20&#49688;&#52636;&#51077;%20&#54788;&#54889;.xlsx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%205&#50900;%20&#51088;&#46041;&#52264;%20&#49688;&#52636;&#51077;%20&#44396;&#48516;.xlsx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%205&#50900;%20&#51088;&#46041;&#52264;%20&#49688;&#52636;&#51077;%20&#54788;&#54889;.xlsx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5&#50900;%20&#51088;&#46041;&#52264;%20&#49688;&#52636;&#51077;%20&#44396;&#48516;.xlsx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%206&#50900;%20&#51088;&#46041;&#52264;%20&#49688;&#52636;&#51077;%20&#44396;&#48516;.xlsx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%206&#50900;%20&#51088;&#46041;&#52264;%20&#49688;&#52636;&#51077;%20&#54788;&#54889;.xlsx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MOF\Desktop\&#53685;&#44228;\2021\6&#50900;%20&#53685;&#44228;\2021&#45380;%206&#50900;%20&#51088;&#46041;&#52264;%20&#49688;&#52636;&#51077;%20&#54788;&#54889;.xlsx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%207&#50900;%20&#51088;&#46041;&#52264;%20&#49688;&#52636;&#51077;%20&#44396;&#48516;.xlsx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%207&#50900;%20&#51088;&#46041;&#52264;%20&#49688;&#52636;&#51077;%20&#54788;&#54889;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7&#50900;%20&#51088;&#46041;&#52264;%20&#49688;&#52636;&#51077;%20&#44396;&#48516;.xlsx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%208&#50900;%20&#51088;&#46041;&#52264;%20&#49688;&#52636;&#51077;%20&#44396;&#48516;.xlsx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%208&#50900;%20&#51088;&#46041;&#52264;%20&#49688;&#52636;&#51077;%20&#54788;&#54889;.xlsx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8&#50900;%20&#51088;&#46041;&#52264;%20&#49688;&#52636;&#51077;%20&#44396;&#48516;.xlsx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%209&#50900;%20&#51088;&#46041;&#52264;%20&#49688;&#52636;&#51077;%20&#44396;&#48516;.xlsx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%209&#50900;%20&#51088;&#46041;&#52264;%20&#49688;&#52636;&#51077;%20&#54788;&#54889;.xlsx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9&#50900;%20&#51088;&#46041;&#52264;%20&#49688;&#52636;&#51077;%20&#44396;&#48516;.xlsx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%2010&#50900;%20&#51088;&#46041;&#52264;%20&#49688;&#52636;&#51077;%20&#44396;&#48516;.xlsx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10&#50900;%20&#51088;&#46041;&#52264;%20&#49688;&#52636;&#51077;%20&#44396;&#48516;.xlsx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%2010&#50900;%20&#51088;&#46041;&#52264;%20&#49688;&#52636;&#51077;%20&#54788;&#548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>
        <row r="3">
          <cell r="K3">
            <v>37484</v>
          </cell>
        </row>
        <row r="4">
          <cell r="K4">
            <v>3568</v>
          </cell>
        </row>
        <row r="5">
          <cell r="K5">
            <v>1491</v>
          </cell>
        </row>
        <row r="8">
          <cell r="K8">
            <v>524</v>
          </cell>
        </row>
        <row r="10">
          <cell r="K10">
            <v>2</v>
          </cell>
        </row>
        <row r="11">
          <cell r="K11">
            <v>32</v>
          </cell>
        </row>
        <row r="12">
          <cell r="K12">
            <v>1</v>
          </cell>
        </row>
        <row r="13">
          <cell r="K13">
            <v>273</v>
          </cell>
        </row>
        <row r="14">
          <cell r="K14">
            <v>23</v>
          </cell>
        </row>
        <row r="15">
          <cell r="K15">
            <v>20</v>
          </cell>
        </row>
        <row r="17">
          <cell r="K17">
            <v>1337</v>
          </cell>
        </row>
        <row r="18">
          <cell r="K18">
            <v>85</v>
          </cell>
        </row>
        <row r="44">
          <cell r="K44">
            <v>21445</v>
          </cell>
        </row>
        <row r="46">
          <cell r="K46">
            <v>65858</v>
          </cell>
        </row>
        <row r="47">
          <cell r="K47">
            <v>910</v>
          </cell>
        </row>
      </sheetData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>
        <row r="3">
          <cell r="L3">
            <v>41443</v>
          </cell>
          <cell r="M3">
            <v>45259</v>
          </cell>
        </row>
        <row r="4">
          <cell r="L4">
            <v>3547</v>
          </cell>
        </row>
        <row r="5">
          <cell r="L5">
            <v>3387</v>
          </cell>
        </row>
        <row r="8">
          <cell r="L8">
            <v>100</v>
          </cell>
        </row>
        <row r="10">
          <cell r="L10">
            <v>6</v>
          </cell>
        </row>
        <row r="11">
          <cell r="L11">
            <v>47</v>
          </cell>
        </row>
        <row r="12">
          <cell r="L12">
            <v>0</v>
          </cell>
        </row>
        <row r="13">
          <cell r="L13">
            <v>143</v>
          </cell>
        </row>
        <row r="14">
          <cell r="L14">
            <v>36</v>
          </cell>
        </row>
        <row r="15">
          <cell r="L15">
            <v>4</v>
          </cell>
        </row>
        <row r="17">
          <cell r="L17">
            <v>1040</v>
          </cell>
        </row>
        <row r="18">
          <cell r="L18">
            <v>51</v>
          </cell>
        </row>
        <row r="44">
          <cell r="L44">
            <v>20452</v>
          </cell>
        </row>
        <row r="46">
          <cell r="L46">
            <v>44174</v>
          </cell>
        </row>
        <row r="47">
          <cell r="L47">
            <v>1275</v>
          </cell>
        </row>
      </sheetData>
      <sheetData sheetId="1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>
        <row r="4">
          <cell r="M4">
            <v>3951</v>
          </cell>
        </row>
        <row r="5">
          <cell r="M5">
            <v>1897</v>
          </cell>
        </row>
        <row r="6">
          <cell r="M6">
            <v>2</v>
          </cell>
        </row>
        <row r="7">
          <cell r="M7">
            <v>0</v>
          </cell>
        </row>
        <row r="8">
          <cell r="M8">
            <v>643</v>
          </cell>
        </row>
        <row r="10">
          <cell r="M10">
            <v>11</v>
          </cell>
        </row>
        <row r="11">
          <cell r="M11">
            <v>71</v>
          </cell>
        </row>
        <row r="12">
          <cell r="M12">
            <v>6</v>
          </cell>
        </row>
        <row r="13">
          <cell r="M13">
            <v>343</v>
          </cell>
        </row>
        <row r="14">
          <cell r="M14">
            <v>59</v>
          </cell>
        </row>
        <row r="15">
          <cell r="M15">
            <v>16</v>
          </cell>
        </row>
        <row r="17">
          <cell r="M17">
            <v>1508</v>
          </cell>
        </row>
        <row r="18">
          <cell r="M18">
            <v>81</v>
          </cell>
        </row>
        <row r="44">
          <cell r="M44">
            <v>19822</v>
          </cell>
        </row>
        <row r="46">
          <cell r="M46">
            <v>58709</v>
          </cell>
        </row>
        <row r="47">
          <cell r="M47">
            <v>1816</v>
          </cell>
        </row>
      </sheetData>
      <sheetData sheetId="1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>
        <row r="3">
          <cell r="N3">
            <v>49123</v>
          </cell>
        </row>
        <row r="4">
          <cell r="N4">
            <v>1588</v>
          </cell>
        </row>
        <row r="5">
          <cell r="N5">
            <v>1316</v>
          </cell>
        </row>
        <row r="6">
          <cell r="N6">
            <v>0</v>
          </cell>
        </row>
        <row r="7">
          <cell r="N7">
            <v>0</v>
          </cell>
        </row>
        <row r="8">
          <cell r="N8">
            <v>267</v>
          </cell>
        </row>
        <row r="10">
          <cell r="N10">
            <v>7</v>
          </cell>
        </row>
        <row r="11">
          <cell r="N11">
            <v>13</v>
          </cell>
        </row>
        <row r="12">
          <cell r="N12">
            <v>0</v>
          </cell>
        </row>
        <row r="13">
          <cell r="N13">
            <v>364</v>
          </cell>
        </row>
        <row r="14">
          <cell r="N14">
            <v>63</v>
          </cell>
        </row>
        <row r="15">
          <cell r="N15">
            <v>26</v>
          </cell>
        </row>
        <row r="17">
          <cell r="N17">
            <v>2029</v>
          </cell>
        </row>
        <row r="18">
          <cell r="N18">
            <v>45</v>
          </cell>
        </row>
        <row r="44">
          <cell r="N44">
            <v>20387</v>
          </cell>
        </row>
        <row r="46">
          <cell r="N46">
            <v>50047</v>
          </cell>
        </row>
        <row r="47">
          <cell r="N47">
            <v>791</v>
          </cell>
        </row>
      </sheetData>
      <sheetData sheetId="1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3">
          <cell r="O3">
            <v>42573</v>
          </cell>
        </row>
        <row r="4">
          <cell r="O4">
            <v>2489</v>
          </cell>
        </row>
        <row r="5">
          <cell r="O5">
            <v>2110</v>
          </cell>
        </row>
        <row r="6">
          <cell r="O6">
            <v>0</v>
          </cell>
        </row>
        <row r="7">
          <cell r="O7">
            <v>0</v>
          </cell>
        </row>
        <row r="8">
          <cell r="O8">
            <v>773</v>
          </cell>
        </row>
        <row r="10">
          <cell r="O10">
            <v>0</v>
          </cell>
        </row>
        <row r="11">
          <cell r="O11">
            <v>15</v>
          </cell>
        </row>
        <row r="12">
          <cell r="O12">
            <v>6</v>
          </cell>
        </row>
        <row r="13">
          <cell r="O13">
            <v>288</v>
          </cell>
        </row>
        <row r="14">
          <cell r="O14">
            <v>29</v>
          </cell>
        </row>
        <row r="15">
          <cell r="O15">
            <v>4</v>
          </cell>
        </row>
        <row r="17">
          <cell r="O17">
            <v>1358</v>
          </cell>
        </row>
        <row r="18">
          <cell r="O18">
            <v>75</v>
          </cell>
        </row>
        <row r="44">
          <cell r="O44">
            <v>24202</v>
          </cell>
        </row>
        <row r="46">
          <cell r="O46">
            <v>46314</v>
          </cell>
        </row>
        <row r="47">
          <cell r="O47">
            <v>2308</v>
          </cell>
        </row>
      </sheetData>
      <sheetData sheetId="1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3">
          <cell r="D3">
            <v>30196</v>
          </cell>
        </row>
        <row r="5">
          <cell r="D5">
            <v>1897</v>
          </cell>
        </row>
        <row r="8">
          <cell r="D8">
            <v>699</v>
          </cell>
        </row>
        <row r="10">
          <cell r="D10">
            <v>19</v>
          </cell>
        </row>
        <row r="13">
          <cell r="D13">
            <v>252</v>
          </cell>
        </row>
        <row r="14">
          <cell r="D14">
            <v>108</v>
          </cell>
        </row>
        <row r="15">
          <cell r="D15">
            <v>0</v>
          </cell>
        </row>
        <row r="17">
          <cell r="D17">
            <v>1236</v>
          </cell>
        </row>
        <row r="18">
          <cell r="D18">
            <v>153</v>
          </cell>
        </row>
        <row r="44">
          <cell r="D44">
            <v>17748</v>
          </cell>
        </row>
        <row r="46">
          <cell r="D46">
            <v>48001</v>
          </cell>
        </row>
        <row r="47">
          <cell r="D47">
            <v>2826</v>
          </cell>
        </row>
      </sheetData>
      <sheetData sheetId="1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">
          <cell r="D4">
            <v>1411</v>
          </cell>
        </row>
        <row r="6">
          <cell r="D6">
            <v>0</v>
          </cell>
        </row>
        <row r="7">
          <cell r="D7">
            <v>0</v>
          </cell>
        </row>
        <row r="11">
          <cell r="D11">
            <v>10</v>
          </cell>
        </row>
        <row r="12">
          <cell r="D12">
            <v>12</v>
          </cell>
        </row>
      </sheetData>
      <sheetData sheetId="1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>
        <row r="3">
          <cell r="E3">
            <v>23307</v>
          </cell>
        </row>
        <row r="5">
          <cell r="E5">
            <v>2004</v>
          </cell>
        </row>
        <row r="8">
          <cell r="E8">
            <v>246</v>
          </cell>
        </row>
        <row r="10">
          <cell r="E10">
            <v>6</v>
          </cell>
        </row>
        <row r="13">
          <cell r="E13">
            <v>343</v>
          </cell>
        </row>
        <row r="14">
          <cell r="E14">
            <v>52</v>
          </cell>
        </row>
        <row r="15">
          <cell r="E15">
            <v>15</v>
          </cell>
        </row>
        <row r="17">
          <cell r="E17">
            <v>1973</v>
          </cell>
        </row>
        <row r="18">
          <cell r="E18">
            <v>107</v>
          </cell>
        </row>
        <row r="44">
          <cell r="E44">
            <v>18794</v>
          </cell>
        </row>
        <row r="46">
          <cell r="E46">
            <v>41213</v>
          </cell>
        </row>
        <row r="47">
          <cell r="E47">
            <v>1695</v>
          </cell>
        </row>
      </sheetData>
      <sheetData sheetId="12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>
        <row r="4">
          <cell r="E4">
            <v>1212</v>
          </cell>
        </row>
        <row r="6">
          <cell r="E6">
            <v>0</v>
          </cell>
        </row>
        <row r="7">
          <cell r="E7">
            <v>0</v>
          </cell>
        </row>
        <row r="11">
          <cell r="E11">
            <v>20</v>
          </cell>
        </row>
        <row r="12">
          <cell r="E12">
            <v>0</v>
          </cell>
        </row>
      </sheetData>
      <sheetData sheetId="1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>
        <row r="3">
          <cell r="F3">
            <v>44432</v>
          </cell>
        </row>
        <row r="5">
          <cell r="F5">
            <v>2249</v>
          </cell>
        </row>
        <row r="8">
          <cell r="F8">
            <v>108</v>
          </cell>
        </row>
        <row r="10">
          <cell r="F10">
            <v>18</v>
          </cell>
        </row>
        <row r="13">
          <cell r="F13">
            <v>328</v>
          </cell>
        </row>
        <row r="14">
          <cell r="F14">
            <v>85</v>
          </cell>
        </row>
        <row r="15">
          <cell r="F15">
            <v>52</v>
          </cell>
        </row>
        <row r="17">
          <cell r="F17">
            <v>1815</v>
          </cell>
        </row>
        <row r="18">
          <cell r="F18">
            <v>122</v>
          </cell>
        </row>
        <row r="44">
          <cell r="F44">
            <v>28233</v>
          </cell>
        </row>
        <row r="46">
          <cell r="F46">
            <v>40845</v>
          </cell>
        </row>
        <row r="47">
          <cell r="F47">
            <v>1172</v>
          </cell>
        </row>
      </sheetData>
      <sheetData sheetId="12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">
          <cell r="F4">
            <v>1584</v>
          </cell>
        </row>
        <row r="6">
          <cell r="F6">
            <v>0</v>
          </cell>
        </row>
        <row r="7">
          <cell r="F7">
            <v>0</v>
          </cell>
        </row>
        <row r="11">
          <cell r="F11">
            <v>2</v>
          </cell>
        </row>
        <row r="12">
          <cell r="F12">
            <v>0</v>
          </cell>
        </row>
      </sheetData>
      <sheetData sheetId="12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>
        <row r="3">
          <cell r="G3">
            <v>27747</v>
          </cell>
        </row>
        <row r="5">
          <cell r="G5">
            <v>902</v>
          </cell>
        </row>
        <row r="8">
          <cell r="G8">
            <v>146</v>
          </cell>
        </row>
        <row r="10">
          <cell r="G10">
            <v>14</v>
          </cell>
        </row>
        <row r="13">
          <cell r="G13">
            <v>140</v>
          </cell>
        </row>
        <row r="14">
          <cell r="G14">
            <v>50</v>
          </cell>
        </row>
        <row r="15">
          <cell r="G15">
            <v>0</v>
          </cell>
        </row>
        <row r="17">
          <cell r="G17">
            <v>434</v>
          </cell>
        </row>
        <row r="18">
          <cell r="G18">
            <v>111</v>
          </cell>
        </row>
        <row r="44">
          <cell r="G44">
            <v>37543</v>
          </cell>
        </row>
        <row r="46">
          <cell r="G46">
            <v>46394</v>
          </cell>
        </row>
        <row r="47">
          <cell r="G47">
            <v>1154</v>
          </cell>
        </row>
      </sheetData>
      <sheetData sheetId="12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">
          <cell r="G4">
            <v>1757</v>
          </cell>
        </row>
        <row r="6">
          <cell r="G6">
            <v>0</v>
          </cell>
        </row>
        <row r="7">
          <cell r="G7">
            <v>0</v>
          </cell>
        </row>
        <row r="11">
          <cell r="G11">
            <v>47</v>
          </cell>
        </row>
        <row r="12">
          <cell r="G12">
            <v>0</v>
          </cell>
        </row>
      </sheetData>
      <sheetData sheetId="12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3">
          <cell r="H3">
            <v>19135</v>
          </cell>
        </row>
        <row r="5">
          <cell r="H5">
            <v>625</v>
          </cell>
        </row>
        <row r="8">
          <cell r="H8">
            <v>222</v>
          </cell>
        </row>
        <row r="10">
          <cell r="H10">
            <v>0</v>
          </cell>
        </row>
        <row r="13">
          <cell r="H13">
            <v>56</v>
          </cell>
        </row>
        <row r="14">
          <cell r="H14">
            <v>95</v>
          </cell>
        </row>
        <row r="15">
          <cell r="H15">
            <v>0</v>
          </cell>
        </row>
        <row r="17">
          <cell r="H17">
            <v>284</v>
          </cell>
        </row>
        <row r="18">
          <cell r="H18">
            <v>60</v>
          </cell>
        </row>
        <row r="44">
          <cell r="H44">
            <v>14331</v>
          </cell>
        </row>
        <row r="46">
          <cell r="H46">
            <v>26824</v>
          </cell>
        </row>
        <row r="47">
          <cell r="H47">
            <v>591</v>
          </cell>
        </row>
      </sheetData>
      <sheetData sheetId="12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">
          <cell r="H4">
            <v>1202</v>
          </cell>
        </row>
        <row r="6">
          <cell r="H6">
            <v>33</v>
          </cell>
        </row>
        <row r="7">
          <cell r="H7">
            <v>0</v>
          </cell>
        </row>
        <row r="11">
          <cell r="H11">
            <v>2</v>
          </cell>
        </row>
        <row r="12">
          <cell r="H12">
            <v>2</v>
          </cell>
        </row>
      </sheetData>
      <sheetData sheetId="12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Sheet1"/>
      <sheetName val="2001"/>
      <sheetName val="2002"/>
      <sheetName val="2003"/>
      <sheetName val="2004"/>
      <sheetName val="2005"/>
      <sheetName val="2006"/>
      <sheetName val="200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3">
          <cell r="I3">
            <v>31139</v>
          </cell>
        </row>
        <row r="5">
          <cell r="I5">
            <v>378</v>
          </cell>
        </row>
        <row r="8">
          <cell r="I8">
            <v>633</v>
          </cell>
        </row>
        <row r="10">
          <cell r="I10">
            <v>2</v>
          </cell>
        </row>
        <row r="13">
          <cell r="I13">
            <v>232</v>
          </cell>
        </row>
        <row r="14">
          <cell r="I14">
            <v>53</v>
          </cell>
        </row>
        <row r="15">
          <cell r="I15">
            <v>2</v>
          </cell>
        </row>
        <row r="17">
          <cell r="I17">
            <v>812</v>
          </cell>
        </row>
        <row r="18">
          <cell r="I18">
            <v>10</v>
          </cell>
        </row>
        <row r="44">
          <cell r="I44">
            <v>9855</v>
          </cell>
        </row>
        <row r="46">
          <cell r="I46">
            <v>24875</v>
          </cell>
        </row>
        <row r="47">
          <cell r="I47">
            <v>526</v>
          </cell>
        </row>
      </sheetData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">
          <cell r="I4">
            <v>1480</v>
          </cell>
        </row>
        <row r="6">
          <cell r="I6">
            <v>0</v>
          </cell>
        </row>
        <row r="7">
          <cell r="I7">
            <v>0</v>
          </cell>
        </row>
        <row r="11">
          <cell r="I11">
            <v>16</v>
          </cell>
        </row>
        <row r="12">
          <cell r="I12">
            <v>7</v>
          </cell>
        </row>
      </sheetData>
      <sheetData sheetId="12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3">
          <cell r="J3">
            <v>40294</v>
          </cell>
        </row>
        <row r="5">
          <cell r="J5">
            <v>663</v>
          </cell>
        </row>
        <row r="8">
          <cell r="J8">
            <v>144</v>
          </cell>
        </row>
        <row r="10">
          <cell r="J10">
            <v>1</v>
          </cell>
        </row>
        <row r="13">
          <cell r="J13">
            <v>152</v>
          </cell>
        </row>
        <row r="14">
          <cell r="J14">
            <v>61</v>
          </cell>
        </row>
        <row r="15">
          <cell r="J15">
            <v>1</v>
          </cell>
        </row>
        <row r="17">
          <cell r="J17">
            <v>697</v>
          </cell>
        </row>
        <row r="18">
          <cell r="J18">
            <v>38</v>
          </cell>
        </row>
        <row r="44">
          <cell r="J44">
            <v>15202</v>
          </cell>
        </row>
        <row r="46">
          <cell r="J46">
            <v>42866</v>
          </cell>
        </row>
        <row r="47">
          <cell r="J47">
            <v>1582</v>
          </cell>
        </row>
      </sheetData>
      <sheetData sheetId="12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">
          <cell r="J4">
            <v>1289</v>
          </cell>
        </row>
        <row r="6">
          <cell r="J6">
            <v>0</v>
          </cell>
        </row>
        <row r="7">
          <cell r="J7">
            <v>0</v>
          </cell>
        </row>
        <row r="11">
          <cell r="J11">
            <v>119</v>
          </cell>
        </row>
        <row r="12">
          <cell r="J12">
            <v>0</v>
          </cell>
        </row>
      </sheetData>
      <sheetData sheetId="12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>
        <row r="3">
          <cell r="K3">
            <v>23205</v>
          </cell>
        </row>
        <row r="5">
          <cell r="K5">
            <v>1121</v>
          </cell>
        </row>
        <row r="8">
          <cell r="K8">
            <v>19</v>
          </cell>
        </row>
        <row r="10">
          <cell r="K10">
            <v>1</v>
          </cell>
        </row>
        <row r="13">
          <cell r="K13">
            <v>298</v>
          </cell>
        </row>
        <row r="14">
          <cell r="K14">
            <v>39</v>
          </cell>
        </row>
        <row r="15">
          <cell r="K15">
            <v>3</v>
          </cell>
        </row>
        <row r="17">
          <cell r="K17">
            <v>766</v>
          </cell>
        </row>
        <row r="18">
          <cell r="K18">
            <v>77</v>
          </cell>
        </row>
        <row r="44">
          <cell r="K44">
            <v>25712</v>
          </cell>
        </row>
        <row r="46">
          <cell r="K46">
            <v>26864</v>
          </cell>
        </row>
        <row r="47">
          <cell r="K47">
            <v>1143</v>
          </cell>
        </row>
      </sheetData>
      <sheetData sheetId="12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">
          <cell r="K4">
            <v>1736</v>
          </cell>
        </row>
        <row r="6">
          <cell r="K6">
            <v>0</v>
          </cell>
        </row>
        <row r="7">
          <cell r="K7">
            <v>0</v>
          </cell>
        </row>
        <row r="11">
          <cell r="K11">
            <v>62</v>
          </cell>
        </row>
        <row r="12">
          <cell r="K12">
            <v>0</v>
          </cell>
        </row>
      </sheetData>
      <sheetData sheetId="12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3">
          <cell r="L3">
            <v>39805</v>
          </cell>
        </row>
        <row r="5">
          <cell r="L5">
            <v>1550</v>
          </cell>
        </row>
        <row r="8">
          <cell r="L8">
            <v>36</v>
          </cell>
        </row>
        <row r="10">
          <cell r="L10">
            <v>6</v>
          </cell>
        </row>
        <row r="13">
          <cell r="L13">
            <v>383</v>
          </cell>
        </row>
        <row r="14">
          <cell r="L14">
            <v>70</v>
          </cell>
        </row>
        <row r="15">
          <cell r="L15">
            <v>0</v>
          </cell>
        </row>
        <row r="17">
          <cell r="L17">
            <v>1602</v>
          </cell>
        </row>
        <row r="18">
          <cell r="L18">
            <v>106</v>
          </cell>
        </row>
        <row r="44">
          <cell r="L44">
            <v>36941</v>
          </cell>
        </row>
        <row r="46">
          <cell r="L46">
            <v>48024</v>
          </cell>
        </row>
        <row r="47">
          <cell r="L47">
            <v>2044</v>
          </cell>
        </row>
      </sheetData>
      <sheetData sheetId="12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">
          <cell r="L4">
            <v>1789</v>
          </cell>
        </row>
        <row r="6">
          <cell r="L6">
            <v>0</v>
          </cell>
        </row>
        <row r="7">
          <cell r="L7">
            <v>0</v>
          </cell>
        </row>
        <row r="11">
          <cell r="L11">
            <v>10</v>
          </cell>
        </row>
        <row r="12">
          <cell r="L12">
            <v>2</v>
          </cell>
        </row>
      </sheetData>
      <sheetData sheetId="12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3">
          <cell r="M3">
            <v>42813</v>
          </cell>
        </row>
        <row r="5">
          <cell r="M5">
            <v>1795</v>
          </cell>
        </row>
        <row r="8">
          <cell r="M8">
            <v>142</v>
          </cell>
        </row>
        <row r="10">
          <cell r="M10">
            <v>9</v>
          </cell>
        </row>
        <row r="13">
          <cell r="M13">
            <v>268</v>
          </cell>
        </row>
        <row r="14">
          <cell r="M14">
            <v>91</v>
          </cell>
        </row>
        <row r="15">
          <cell r="M15">
            <v>19</v>
          </cell>
        </row>
        <row r="17">
          <cell r="M17">
            <v>1590</v>
          </cell>
        </row>
        <row r="18">
          <cell r="M18">
            <v>118</v>
          </cell>
        </row>
        <row r="44">
          <cell r="M44">
            <v>30389</v>
          </cell>
        </row>
        <row r="46">
          <cell r="M46">
            <v>46193</v>
          </cell>
        </row>
        <row r="47">
          <cell r="M47">
            <v>797</v>
          </cell>
        </row>
      </sheetData>
      <sheetData sheetId="12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">
          <cell r="M4">
            <v>2737</v>
          </cell>
        </row>
        <row r="6">
          <cell r="M6">
            <v>0</v>
          </cell>
        </row>
        <row r="7">
          <cell r="M7">
            <v>0</v>
          </cell>
        </row>
        <row r="11">
          <cell r="M11">
            <v>31</v>
          </cell>
        </row>
        <row r="12">
          <cell r="M12">
            <v>0</v>
          </cell>
        </row>
      </sheetData>
      <sheetData sheetId="12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>
        <row r="3">
          <cell r="N3">
            <v>45122</v>
          </cell>
        </row>
        <row r="5">
          <cell r="N5">
            <v>2607</v>
          </cell>
        </row>
        <row r="8">
          <cell r="N8">
            <v>1</v>
          </cell>
        </row>
        <row r="10">
          <cell r="N10">
            <v>8</v>
          </cell>
        </row>
        <row r="13">
          <cell r="N13">
            <v>146</v>
          </cell>
        </row>
        <row r="14">
          <cell r="N14">
            <v>33</v>
          </cell>
        </row>
        <row r="15">
          <cell r="N15">
            <v>36</v>
          </cell>
        </row>
        <row r="17">
          <cell r="N17">
            <v>734</v>
          </cell>
        </row>
        <row r="18">
          <cell r="N18">
            <v>156</v>
          </cell>
        </row>
        <row r="44">
          <cell r="N44">
            <v>30340</v>
          </cell>
        </row>
        <row r="46">
          <cell r="N46">
            <v>56159</v>
          </cell>
        </row>
        <row r="47">
          <cell r="N47">
            <v>1459</v>
          </cell>
        </row>
      </sheetData>
      <sheetData sheetId="12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">
          <cell r="N4">
            <v>2497</v>
          </cell>
        </row>
        <row r="6">
          <cell r="N6">
            <v>0</v>
          </cell>
        </row>
        <row r="7">
          <cell r="N7">
            <v>0</v>
          </cell>
        </row>
        <row r="11">
          <cell r="N11">
            <v>27</v>
          </cell>
        </row>
        <row r="12">
          <cell r="N12">
            <v>0</v>
          </cell>
        </row>
      </sheetData>
      <sheetData sheetId="12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3">
          <cell r="O3">
            <v>33637</v>
          </cell>
        </row>
        <row r="5">
          <cell r="O5">
            <v>2216</v>
          </cell>
        </row>
        <row r="8">
          <cell r="O8">
            <v>223</v>
          </cell>
        </row>
        <row r="10">
          <cell r="O10">
            <v>15</v>
          </cell>
        </row>
        <row r="13">
          <cell r="O13">
            <v>392</v>
          </cell>
        </row>
        <row r="14">
          <cell r="O14">
            <v>69</v>
          </cell>
        </row>
        <row r="15">
          <cell r="O15">
            <v>26</v>
          </cell>
        </row>
        <row r="17">
          <cell r="O17">
            <v>1178</v>
          </cell>
        </row>
        <row r="18">
          <cell r="O18">
            <v>240</v>
          </cell>
        </row>
        <row r="44">
          <cell r="O44">
            <v>29109</v>
          </cell>
        </row>
        <row r="46">
          <cell r="O46">
            <v>39270</v>
          </cell>
        </row>
        <row r="47">
          <cell r="O47">
            <v>1841</v>
          </cell>
        </row>
      </sheetData>
      <sheetData sheetId="12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">
          <cell r="O4">
            <v>2516</v>
          </cell>
        </row>
        <row r="6">
          <cell r="O6">
            <v>0</v>
          </cell>
        </row>
        <row r="7">
          <cell r="O7">
            <v>0</v>
          </cell>
        </row>
        <row r="11">
          <cell r="O11">
            <v>19</v>
          </cell>
        </row>
        <row r="12">
          <cell r="O12">
            <v>16</v>
          </cell>
        </row>
      </sheetData>
      <sheetData sheetId="12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3">
          <cell r="D3">
            <v>30196</v>
          </cell>
        </row>
      </sheetData>
      <sheetData sheetId="12">
        <row r="3">
          <cell r="D3">
            <v>41577</v>
          </cell>
        </row>
        <row r="5">
          <cell r="D5">
            <v>2758</v>
          </cell>
        </row>
        <row r="8">
          <cell r="D8">
            <v>103</v>
          </cell>
        </row>
        <row r="10">
          <cell r="D10">
            <v>28</v>
          </cell>
        </row>
        <row r="13">
          <cell r="D13">
            <v>329</v>
          </cell>
        </row>
        <row r="14">
          <cell r="D14">
            <v>83</v>
          </cell>
        </row>
        <row r="15">
          <cell r="D15">
            <v>0</v>
          </cell>
        </row>
        <row r="17">
          <cell r="D17">
            <v>1896</v>
          </cell>
        </row>
        <row r="18">
          <cell r="D18">
            <v>606</v>
          </cell>
        </row>
        <row r="44">
          <cell r="D44">
            <v>24355</v>
          </cell>
        </row>
        <row r="46">
          <cell r="D46">
            <v>49719</v>
          </cell>
        </row>
        <row r="47">
          <cell r="D47">
            <v>3212</v>
          </cell>
        </row>
      </sheetData>
      <sheetData sheetId="13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">
          <cell r="D4">
            <v>1411</v>
          </cell>
        </row>
      </sheetData>
      <sheetData sheetId="12">
        <row r="4">
          <cell r="D4">
            <v>1906</v>
          </cell>
        </row>
        <row r="6">
          <cell r="D6">
            <v>0</v>
          </cell>
        </row>
        <row r="7">
          <cell r="D7">
            <v>0</v>
          </cell>
        </row>
        <row r="11">
          <cell r="D11">
            <v>30</v>
          </cell>
        </row>
        <row r="12">
          <cell r="D12">
            <v>0</v>
          </cell>
        </row>
      </sheetData>
      <sheetData sheetId="13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3">
          <cell r="E3">
            <v>40701</v>
          </cell>
        </row>
        <row r="5">
          <cell r="E5">
            <v>470</v>
          </cell>
        </row>
        <row r="8">
          <cell r="E8">
            <v>104</v>
          </cell>
        </row>
        <row r="10">
          <cell r="E10">
            <v>42</v>
          </cell>
        </row>
        <row r="13">
          <cell r="E13">
            <v>119</v>
          </cell>
        </row>
        <row r="14">
          <cell r="E14">
            <v>59</v>
          </cell>
        </row>
        <row r="15">
          <cell r="E15">
            <v>4</v>
          </cell>
        </row>
        <row r="17">
          <cell r="E17">
            <v>804</v>
          </cell>
        </row>
        <row r="18">
          <cell r="E18">
            <v>111</v>
          </cell>
        </row>
        <row r="44">
          <cell r="E44">
            <v>17315</v>
          </cell>
        </row>
        <row r="46">
          <cell r="E46">
            <v>38271</v>
          </cell>
        </row>
        <row r="47">
          <cell r="E47">
            <v>1448</v>
          </cell>
        </row>
      </sheetData>
      <sheetData sheetId="13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4">
          <cell r="E4">
            <v>3826</v>
          </cell>
        </row>
        <row r="6">
          <cell r="E6">
            <v>0</v>
          </cell>
        </row>
        <row r="7">
          <cell r="E7">
            <v>0</v>
          </cell>
        </row>
        <row r="11">
          <cell r="E11">
            <v>18</v>
          </cell>
        </row>
        <row r="12">
          <cell r="E12">
            <v>0</v>
          </cell>
        </row>
      </sheetData>
      <sheetData sheetId="13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3">
          <cell r="F3">
            <v>46230</v>
          </cell>
        </row>
        <row r="5">
          <cell r="F5">
            <v>2249</v>
          </cell>
        </row>
        <row r="8">
          <cell r="F8">
            <v>338</v>
          </cell>
        </row>
        <row r="10">
          <cell r="F10">
            <v>32</v>
          </cell>
        </row>
        <row r="13">
          <cell r="F13">
            <v>154</v>
          </cell>
        </row>
        <row r="14">
          <cell r="F14">
            <v>29</v>
          </cell>
        </row>
        <row r="15">
          <cell r="F15">
            <v>1</v>
          </cell>
        </row>
        <row r="17">
          <cell r="F17">
            <v>1019</v>
          </cell>
        </row>
        <row r="18">
          <cell r="F18">
            <v>201</v>
          </cell>
        </row>
        <row r="46">
          <cell r="F46">
            <v>40217</v>
          </cell>
        </row>
        <row r="47">
          <cell r="F47">
            <v>2873</v>
          </cell>
        </row>
      </sheetData>
      <sheetData sheetId="13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4">
          <cell r="F4">
            <v>2944</v>
          </cell>
        </row>
        <row r="6">
          <cell r="F6">
            <v>0</v>
          </cell>
        </row>
        <row r="7">
          <cell r="F7">
            <v>0</v>
          </cell>
        </row>
        <row r="11">
          <cell r="F11">
            <v>197</v>
          </cell>
        </row>
        <row r="12">
          <cell r="F12">
            <v>0</v>
          </cell>
        </row>
      </sheetData>
      <sheetData sheetId="13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44">
          <cell r="F44">
            <v>26417</v>
          </cell>
        </row>
      </sheetData>
      <sheetData sheetId="13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3">
          <cell r="G3">
            <v>47743</v>
          </cell>
        </row>
        <row r="8">
          <cell r="G8">
            <v>902</v>
          </cell>
        </row>
        <row r="10">
          <cell r="G10">
            <v>31</v>
          </cell>
        </row>
        <row r="13">
          <cell r="G13">
            <v>260</v>
          </cell>
        </row>
        <row r="14">
          <cell r="G14">
            <v>115</v>
          </cell>
        </row>
        <row r="15">
          <cell r="G15">
            <v>0</v>
          </cell>
        </row>
        <row r="17">
          <cell r="G17">
            <v>1504</v>
          </cell>
        </row>
        <row r="18">
          <cell r="G18">
            <v>187</v>
          </cell>
        </row>
        <row r="44">
          <cell r="G44">
            <v>31928</v>
          </cell>
        </row>
        <row r="46">
          <cell r="G46">
            <v>51676</v>
          </cell>
        </row>
        <row r="47">
          <cell r="G47">
            <v>2361</v>
          </cell>
        </row>
      </sheetData>
      <sheetData sheetId="13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4">
          <cell r="G4">
            <v>5030</v>
          </cell>
        </row>
        <row r="6">
          <cell r="G6">
            <v>0</v>
          </cell>
        </row>
        <row r="11">
          <cell r="G11">
            <v>21</v>
          </cell>
        </row>
      </sheetData>
      <sheetData sheetId="13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5">
          <cell r="G5">
            <v>1480</v>
          </cell>
        </row>
      </sheetData>
      <sheetData sheetId="13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7">
          <cell r="G7">
            <v>0</v>
          </cell>
        </row>
        <row r="12">
          <cell r="G12">
            <v>8</v>
          </cell>
        </row>
      </sheetData>
      <sheetData sheetId="13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>
        <row r="3">
          <cell r="H3">
            <v>38679</v>
          </cell>
        </row>
        <row r="8">
          <cell r="H8">
            <v>758</v>
          </cell>
        </row>
        <row r="10">
          <cell r="H10">
            <v>12</v>
          </cell>
        </row>
        <row r="13">
          <cell r="H13">
            <v>266</v>
          </cell>
        </row>
        <row r="14">
          <cell r="H14">
            <v>78</v>
          </cell>
          <cell r="I14">
            <v>98</v>
          </cell>
        </row>
        <row r="15">
          <cell r="H15">
            <v>20</v>
          </cell>
        </row>
        <row r="17">
          <cell r="H17">
            <v>1738</v>
          </cell>
        </row>
        <row r="18">
          <cell r="H18">
            <v>114</v>
          </cell>
        </row>
        <row r="44">
          <cell r="H44">
            <v>27068</v>
          </cell>
        </row>
        <row r="46">
          <cell r="H46">
            <v>44656</v>
          </cell>
        </row>
        <row r="47">
          <cell r="H47">
            <v>2172</v>
          </cell>
        </row>
      </sheetData>
      <sheetData sheetId="13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4">
          <cell r="H4">
            <v>3342</v>
          </cell>
        </row>
        <row r="6">
          <cell r="H6">
            <v>0</v>
          </cell>
        </row>
        <row r="7">
          <cell r="H7">
            <v>0</v>
          </cell>
        </row>
        <row r="11">
          <cell r="H11">
            <v>148</v>
          </cell>
        </row>
        <row r="12">
          <cell r="H12">
            <v>5</v>
          </cell>
        </row>
      </sheetData>
      <sheetData sheetId="13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5">
          <cell r="H5">
            <v>2180</v>
          </cell>
          <cell r="I5">
            <v>2513</v>
          </cell>
        </row>
      </sheetData>
      <sheetData sheetId="13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3">
          <cell r="I3">
            <v>45729</v>
          </cell>
        </row>
        <row r="8">
          <cell r="I8">
            <v>165</v>
          </cell>
        </row>
        <row r="10">
          <cell r="I10">
            <v>6</v>
          </cell>
        </row>
        <row r="13">
          <cell r="I13">
            <v>214</v>
          </cell>
        </row>
        <row r="15">
          <cell r="I15">
            <v>16</v>
          </cell>
        </row>
        <row r="17">
          <cell r="I17">
            <v>1254</v>
          </cell>
        </row>
        <row r="18">
          <cell r="I18">
            <v>710</v>
          </cell>
        </row>
        <row r="44">
          <cell r="I44">
            <v>23548</v>
          </cell>
        </row>
        <row r="46">
          <cell r="I46">
            <v>39819</v>
          </cell>
        </row>
        <row r="47">
          <cell r="I47">
            <v>1569</v>
          </cell>
        </row>
      </sheetData>
      <sheetData sheetId="13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4">
          <cell r="I4">
            <v>11528</v>
          </cell>
        </row>
        <row r="6">
          <cell r="I6">
            <v>0</v>
          </cell>
        </row>
        <row r="7">
          <cell r="I7">
            <v>0</v>
          </cell>
        </row>
      </sheetData>
      <sheetData sheetId="13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12">
          <cell r="I12">
            <v>0</v>
          </cell>
        </row>
      </sheetData>
      <sheetData sheetId="13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3">
          <cell r="J3">
            <v>47166</v>
          </cell>
        </row>
        <row r="8">
          <cell r="J8">
            <v>79</v>
          </cell>
        </row>
        <row r="10">
          <cell r="J10">
            <v>22</v>
          </cell>
        </row>
        <row r="13">
          <cell r="J13">
            <v>180</v>
          </cell>
        </row>
        <row r="14">
          <cell r="J14">
            <v>46</v>
          </cell>
        </row>
        <row r="15">
          <cell r="J15">
            <v>0</v>
          </cell>
        </row>
        <row r="17">
          <cell r="J17">
            <v>506</v>
          </cell>
        </row>
        <row r="18">
          <cell r="J18">
            <v>330</v>
          </cell>
        </row>
        <row r="44">
          <cell r="J44">
            <v>24193</v>
          </cell>
        </row>
        <row r="46">
          <cell r="J46">
            <v>46772</v>
          </cell>
        </row>
        <row r="47">
          <cell r="J47">
            <v>2015</v>
          </cell>
        </row>
      </sheetData>
      <sheetData sheetId="13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4">
          <cell r="J4">
            <v>3989</v>
          </cell>
        </row>
        <row r="6">
          <cell r="J6">
            <v>333</v>
          </cell>
        </row>
        <row r="7">
          <cell r="J7">
            <v>0</v>
          </cell>
        </row>
        <row r="11">
          <cell r="J11">
            <v>8</v>
          </cell>
        </row>
        <row r="12">
          <cell r="J12">
            <v>0</v>
          </cell>
        </row>
      </sheetData>
      <sheetData sheetId="13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5">
          <cell r="J5">
            <v>2895</v>
          </cell>
        </row>
      </sheetData>
      <sheetData sheetId="13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3">
          <cell r="K3">
            <v>31065</v>
          </cell>
        </row>
        <row r="8">
          <cell r="K8">
            <v>43</v>
          </cell>
        </row>
        <row r="10">
          <cell r="K10">
            <v>9</v>
          </cell>
        </row>
        <row r="13">
          <cell r="K13">
            <v>246</v>
          </cell>
        </row>
        <row r="14">
          <cell r="K14">
            <v>51</v>
          </cell>
        </row>
        <row r="15">
          <cell r="K15">
            <v>0</v>
          </cell>
        </row>
        <row r="17">
          <cell r="K17">
            <v>1274</v>
          </cell>
        </row>
        <row r="18">
          <cell r="K18">
            <v>268</v>
          </cell>
        </row>
        <row r="44">
          <cell r="K44">
            <v>19375</v>
          </cell>
        </row>
        <row r="46">
          <cell r="K46">
            <v>44339</v>
          </cell>
        </row>
        <row r="47">
          <cell r="K47">
            <v>1559</v>
          </cell>
        </row>
      </sheetData>
      <sheetData sheetId="13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4">
          <cell r="K4">
            <v>2695</v>
          </cell>
        </row>
        <row r="6">
          <cell r="K6">
            <v>250</v>
          </cell>
        </row>
        <row r="7">
          <cell r="K7">
            <v>0</v>
          </cell>
        </row>
        <row r="11">
          <cell r="K11">
            <v>41</v>
          </cell>
        </row>
        <row r="12">
          <cell r="K12">
            <v>13</v>
          </cell>
        </row>
      </sheetData>
      <sheetData sheetId="13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5">
          <cell r="K5">
            <v>3175</v>
          </cell>
        </row>
      </sheetData>
      <sheetData sheetId="13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3">
          <cell r="L3">
            <v>36833</v>
          </cell>
        </row>
        <row r="8">
          <cell r="L8">
            <v>17</v>
          </cell>
        </row>
        <row r="10">
          <cell r="L10">
            <v>20</v>
          </cell>
        </row>
        <row r="13">
          <cell r="L13">
            <v>77</v>
          </cell>
        </row>
        <row r="14">
          <cell r="L14">
            <v>51</v>
          </cell>
        </row>
        <row r="15">
          <cell r="L15">
            <v>4</v>
          </cell>
        </row>
        <row r="17">
          <cell r="L17">
            <v>546</v>
          </cell>
        </row>
        <row r="18">
          <cell r="L18">
            <v>147</v>
          </cell>
        </row>
        <row r="44">
          <cell r="L44">
            <v>16508</v>
          </cell>
        </row>
        <row r="46">
          <cell r="L46">
            <v>35179</v>
          </cell>
        </row>
        <row r="47">
          <cell r="L47">
            <v>936</v>
          </cell>
        </row>
      </sheetData>
      <sheetData sheetId="13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4">
          <cell r="L4">
            <v>2373</v>
          </cell>
        </row>
        <row r="6">
          <cell r="L6">
            <v>0</v>
          </cell>
        </row>
        <row r="7">
          <cell r="L7">
            <v>0</v>
          </cell>
        </row>
        <row r="11">
          <cell r="L11">
            <v>31</v>
          </cell>
        </row>
        <row r="12">
          <cell r="L12">
            <v>38</v>
          </cell>
        </row>
      </sheetData>
      <sheetData sheetId="13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5">
          <cell r="L5">
            <v>1491</v>
          </cell>
        </row>
      </sheetData>
      <sheetData sheetId="13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3">
          <cell r="M3">
            <v>42756</v>
          </cell>
        </row>
        <row r="8">
          <cell r="M8">
            <v>21</v>
          </cell>
        </row>
        <row r="10">
          <cell r="M10">
            <v>44</v>
          </cell>
        </row>
        <row r="13">
          <cell r="M13">
            <v>39</v>
          </cell>
        </row>
        <row r="14">
          <cell r="M14">
            <v>57</v>
          </cell>
        </row>
        <row r="15">
          <cell r="M15">
            <v>7</v>
          </cell>
        </row>
        <row r="17">
          <cell r="M17">
            <v>292</v>
          </cell>
        </row>
        <row r="18">
          <cell r="M18">
            <v>287</v>
          </cell>
        </row>
        <row r="44">
          <cell r="M44">
            <v>17243</v>
          </cell>
        </row>
        <row r="46">
          <cell r="M46">
            <v>51754</v>
          </cell>
        </row>
        <row r="47">
          <cell r="M47">
            <v>1791</v>
          </cell>
        </row>
      </sheetData>
      <sheetData sheetId="13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5">
          <cell r="M5">
            <v>2409</v>
          </cell>
        </row>
      </sheetData>
      <sheetData sheetId="13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4">
          <cell r="M4">
            <v>51611</v>
          </cell>
        </row>
        <row r="6">
          <cell r="M6">
            <v>0</v>
          </cell>
        </row>
        <row r="7">
          <cell r="M7">
            <v>0</v>
          </cell>
        </row>
        <row r="12">
          <cell r="M12">
            <v>0</v>
          </cell>
        </row>
      </sheetData>
      <sheetData sheetId="13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workbookViewId="0">
      <selection sqref="A1:F1"/>
    </sheetView>
  </sheetViews>
  <sheetFormatPr defaultRowHeight="13.5" x14ac:dyDescent="0.15"/>
  <cols>
    <col min="1" max="1" width="14.88671875" customWidth="1"/>
    <col min="2" max="2" width="12.5546875" customWidth="1"/>
    <col min="3" max="3" width="11.44140625" customWidth="1"/>
    <col min="4" max="4" width="11.88671875" customWidth="1"/>
    <col min="5" max="5" width="12.44140625" customWidth="1"/>
    <col min="6" max="6" width="9.21875" customWidth="1"/>
  </cols>
  <sheetData>
    <row r="1" spans="1:6" ht="52.5" customHeight="1" x14ac:dyDescent="0.3">
      <c r="A1" s="71" t="s">
        <v>19</v>
      </c>
      <c r="B1" s="71"/>
      <c r="C1" s="71"/>
      <c r="D1" s="71"/>
      <c r="E1" s="71"/>
      <c r="F1" s="71"/>
    </row>
    <row r="2" spans="1:6" ht="62.45" customHeight="1" x14ac:dyDescent="0.15">
      <c r="A2" s="72" t="s">
        <v>20</v>
      </c>
      <c r="B2" s="72"/>
      <c r="C2" s="72"/>
      <c r="D2" s="72"/>
      <c r="E2" s="72"/>
      <c r="F2" s="72"/>
    </row>
    <row r="3" spans="1:6" ht="38.25" customHeight="1" x14ac:dyDescent="0.25">
      <c r="A3" s="5" t="s">
        <v>13</v>
      </c>
      <c r="B3" s="6" t="s">
        <v>14</v>
      </c>
      <c r="C3" s="6" t="s">
        <v>15</v>
      </c>
      <c r="D3" s="6" t="s">
        <v>16</v>
      </c>
      <c r="E3" s="6" t="s">
        <v>17</v>
      </c>
      <c r="F3" s="6" t="s">
        <v>18</v>
      </c>
    </row>
    <row r="4" spans="1:6" ht="35.450000000000003" customHeight="1" x14ac:dyDescent="0.15">
      <c r="A4" s="1" t="s">
        <v>0</v>
      </c>
      <c r="B4" s="2">
        <f>SUM(C4:D4:E4)</f>
        <v>20049</v>
      </c>
      <c r="C4" s="3">
        <v>5511</v>
      </c>
      <c r="D4" s="3">
        <v>14444</v>
      </c>
      <c r="E4" s="3">
        <v>94</v>
      </c>
      <c r="F4" s="2"/>
    </row>
    <row r="5" spans="1:6" ht="35.450000000000003" customHeight="1" x14ac:dyDescent="0.15">
      <c r="A5" s="1" t="s">
        <v>1</v>
      </c>
      <c r="B5" s="2">
        <f>SUM(C5:D5:E5)</f>
        <v>25819</v>
      </c>
      <c r="C5" s="3">
        <v>6736</v>
      </c>
      <c r="D5" s="3">
        <v>19025</v>
      </c>
      <c r="E5" s="3">
        <v>58</v>
      </c>
      <c r="F5" s="4"/>
    </row>
    <row r="6" spans="1:6" ht="35.450000000000003" customHeight="1" x14ac:dyDescent="0.15">
      <c r="A6" s="1" t="s">
        <v>2</v>
      </c>
      <c r="B6" s="2">
        <f>SUM(C6:D6:E6)</f>
        <v>28307</v>
      </c>
      <c r="C6" s="3">
        <v>5509</v>
      </c>
      <c r="D6" s="3">
        <v>22732</v>
      </c>
      <c r="E6" s="3">
        <v>66</v>
      </c>
      <c r="F6" s="4"/>
    </row>
    <row r="7" spans="1:6" ht="35.450000000000003" customHeight="1" x14ac:dyDescent="0.15">
      <c r="A7" s="1" t="s">
        <v>3</v>
      </c>
      <c r="B7" s="2">
        <v>38395</v>
      </c>
      <c r="C7" s="3">
        <v>5537</v>
      </c>
      <c r="D7" s="3">
        <v>32687</v>
      </c>
      <c r="E7" s="3">
        <v>171</v>
      </c>
      <c r="F7" s="4"/>
    </row>
    <row r="8" spans="1:6" ht="35.450000000000003" customHeight="1" x14ac:dyDescent="0.15">
      <c r="A8" s="1" t="s">
        <v>4</v>
      </c>
      <c r="B8" s="2">
        <v>36240</v>
      </c>
      <c r="C8" s="3">
        <v>5912</v>
      </c>
      <c r="D8" s="3">
        <v>30234</v>
      </c>
      <c r="E8" s="3">
        <v>94</v>
      </c>
      <c r="F8" s="4"/>
    </row>
    <row r="9" spans="1:6" ht="35.450000000000003" customHeight="1" x14ac:dyDescent="0.15">
      <c r="A9" s="1" t="s">
        <v>5</v>
      </c>
      <c r="B9" s="2">
        <v>40758</v>
      </c>
      <c r="C9" s="3">
        <v>5063</v>
      </c>
      <c r="D9" s="3">
        <v>35174</v>
      </c>
      <c r="E9" s="3">
        <v>521</v>
      </c>
      <c r="F9" s="4"/>
    </row>
    <row r="10" spans="1:6" ht="35.450000000000003" customHeight="1" x14ac:dyDescent="0.15">
      <c r="A10" s="1" t="s">
        <v>6</v>
      </c>
      <c r="B10" s="2">
        <v>38330</v>
      </c>
      <c r="C10" s="3">
        <v>6002</v>
      </c>
      <c r="D10" s="3">
        <v>31848</v>
      </c>
      <c r="E10" s="3">
        <v>480</v>
      </c>
      <c r="F10" s="4"/>
    </row>
    <row r="11" spans="1:6" ht="35.450000000000003" customHeight="1" x14ac:dyDescent="0.15">
      <c r="A11" s="1" t="s">
        <v>7</v>
      </c>
      <c r="B11" s="2">
        <v>40063</v>
      </c>
      <c r="C11" s="3">
        <v>6177</v>
      </c>
      <c r="D11" s="3">
        <v>33830</v>
      </c>
      <c r="E11" s="3">
        <v>56</v>
      </c>
      <c r="F11" s="4"/>
    </row>
    <row r="12" spans="1:6" ht="35.450000000000003" customHeight="1" x14ac:dyDescent="0.15">
      <c r="A12" s="1" t="s">
        <v>8</v>
      </c>
      <c r="B12" s="2">
        <v>50740</v>
      </c>
      <c r="C12" s="3">
        <v>6628</v>
      </c>
      <c r="D12" s="3">
        <v>43323</v>
      </c>
      <c r="E12" s="3">
        <v>789</v>
      </c>
      <c r="F12" s="4"/>
    </row>
    <row r="13" spans="1:6" ht="35.450000000000003" customHeight="1" x14ac:dyDescent="0.15">
      <c r="A13" s="1" t="s">
        <v>9</v>
      </c>
      <c r="B13" s="2">
        <v>39868</v>
      </c>
      <c r="C13" s="3">
        <v>6013</v>
      </c>
      <c r="D13" s="3">
        <v>33852</v>
      </c>
      <c r="E13" s="3">
        <v>3</v>
      </c>
      <c r="F13" s="4"/>
    </row>
    <row r="14" spans="1:6" ht="35.450000000000003" customHeight="1" x14ac:dyDescent="0.15">
      <c r="A14" s="1" t="s">
        <v>10</v>
      </c>
      <c r="B14" s="2">
        <v>46813</v>
      </c>
      <c r="C14" s="3">
        <v>9649</v>
      </c>
      <c r="D14" s="3">
        <v>37063</v>
      </c>
      <c r="E14" s="3">
        <v>101</v>
      </c>
      <c r="F14" s="4"/>
    </row>
    <row r="15" spans="1:6" ht="35.450000000000003" customHeight="1" x14ac:dyDescent="0.15">
      <c r="A15" s="1" t="s">
        <v>11</v>
      </c>
      <c r="B15" s="2">
        <v>41791</v>
      </c>
      <c r="C15" s="3">
        <v>7913</v>
      </c>
      <c r="D15" s="3">
        <v>33850</v>
      </c>
      <c r="E15" s="3">
        <v>28</v>
      </c>
      <c r="F15" s="4"/>
    </row>
    <row r="16" spans="1:6" ht="35.450000000000003" customHeight="1" x14ac:dyDescent="0.15">
      <c r="A16" s="1" t="s">
        <v>12</v>
      </c>
      <c r="B16" s="3">
        <f>SUM(B4:B15)</f>
        <v>447173</v>
      </c>
      <c r="C16" s="3">
        <f>SUM(C4:C15)</f>
        <v>76650</v>
      </c>
      <c r="D16" s="3">
        <f>SUM(D4:D15)</f>
        <v>368062</v>
      </c>
      <c r="E16" s="3">
        <f>SUM(E4:E15)</f>
        <v>2461</v>
      </c>
      <c r="F16" s="4"/>
    </row>
  </sheetData>
  <mergeCells count="2">
    <mergeCell ref="A1:F1"/>
    <mergeCell ref="A2:F2"/>
  </mergeCells>
  <phoneticPr fontId="3" type="noConversion"/>
  <pageMargins left="0.75" right="0.75" top="1" bottom="1" header="0.5" footer="0.5"/>
  <pageSetup paperSize="9" orientation="portrait" horizontalDpi="1200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workbookViewId="0">
      <pane ySplit="3" topLeftCell="A4" activePane="bottomLeft" state="frozen"/>
      <selection pane="bottomLeft" sqref="A1:F1"/>
    </sheetView>
  </sheetViews>
  <sheetFormatPr defaultRowHeight="13.5" x14ac:dyDescent="0.15"/>
  <cols>
    <col min="1" max="1" width="13.44140625" customWidth="1"/>
    <col min="2" max="2" width="16.109375" customWidth="1"/>
    <col min="3" max="3" width="12.44140625" customWidth="1"/>
    <col min="4" max="4" width="12.109375" customWidth="1"/>
    <col min="5" max="5" width="11.109375" customWidth="1"/>
    <col min="6" max="6" width="7.44140625" customWidth="1"/>
  </cols>
  <sheetData>
    <row r="1" spans="1:6" ht="51" customHeight="1" x14ac:dyDescent="0.15">
      <c r="A1" s="73" t="s">
        <v>21</v>
      </c>
      <c r="B1" s="73"/>
      <c r="C1" s="73"/>
      <c r="D1" s="73"/>
      <c r="E1" s="73"/>
      <c r="F1" s="73"/>
    </row>
    <row r="2" spans="1:6" ht="21.2" customHeight="1" x14ac:dyDescent="0.15">
      <c r="A2" s="72" t="s">
        <v>20</v>
      </c>
      <c r="B2" s="72"/>
      <c r="C2" s="72"/>
      <c r="D2" s="72"/>
      <c r="E2" s="72"/>
      <c r="F2" s="72"/>
    </row>
    <row r="3" spans="1:6" ht="37.5" x14ac:dyDescent="0.25">
      <c r="A3" s="5" t="s">
        <v>13</v>
      </c>
      <c r="B3" s="6" t="s">
        <v>14</v>
      </c>
      <c r="C3" s="6" t="s">
        <v>15</v>
      </c>
      <c r="D3" s="6" t="s">
        <v>16</v>
      </c>
      <c r="E3" s="6" t="s">
        <v>17</v>
      </c>
      <c r="F3" s="6" t="s">
        <v>18</v>
      </c>
    </row>
    <row r="4" spans="1:6" ht="32.25" customHeight="1" x14ac:dyDescent="0.15">
      <c r="A4" s="1" t="s">
        <v>0</v>
      </c>
      <c r="B4" s="2">
        <f>SUM(C4:E4)</f>
        <v>41930</v>
      </c>
      <c r="C4" s="3">
        <v>8871</v>
      </c>
      <c r="D4" s="3">
        <v>32985</v>
      </c>
      <c r="E4" s="3">
        <v>74</v>
      </c>
      <c r="F4" s="2"/>
    </row>
    <row r="5" spans="1:6" ht="32.25" customHeight="1" x14ac:dyDescent="0.15">
      <c r="A5" s="1" t="s">
        <v>1</v>
      </c>
      <c r="B5" s="2">
        <f t="shared" ref="B5:B16" si="0">SUM(C5:E5)</f>
        <v>29731</v>
      </c>
      <c r="C5" s="3">
        <v>7954</v>
      </c>
      <c r="D5" s="3">
        <v>21758</v>
      </c>
      <c r="E5" s="3">
        <v>19</v>
      </c>
      <c r="F5" s="4"/>
    </row>
    <row r="6" spans="1:6" ht="32.25" customHeight="1" x14ac:dyDescent="0.15">
      <c r="A6" s="1" t="s">
        <v>2</v>
      </c>
      <c r="B6" s="2">
        <f t="shared" si="0"/>
        <v>36603</v>
      </c>
      <c r="C6" s="3">
        <v>8903</v>
      </c>
      <c r="D6" s="3">
        <v>26918</v>
      </c>
      <c r="E6" s="3">
        <v>782</v>
      </c>
      <c r="F6" s="4"/>
    </row>
    <row r="7" spans="1:6" ht="32.25" customHeight="1" x14ac:dyDescent="0.15">
      <c r="A7" s="1" t="s">
        <v>3</v>
      </c>
      <c r="B7" s="2">
        <f t="shared" si="0"/>
        <v>44916</v>
      </c>
      <c r="C7" s="3">
        <v>10761</v>
      </c>
      <c r="D7" s="3">
        <v>34054</v>
      </c>
      <c r="E7" s="3">
        <v>101</v>
      </c>
      <c r="F7" s="4"/>
    </row>
    <row r="8" spans="1:6" ht="32.25" customHeight="1" x14ac:dyDescent="0.15">
      <c r="A8" s="1" t="s">
        <v>4</v>
      </c>
      <c r="B8" s="2">
        <f t="shared" si="0"/>
        <v>38297</v>
      </c>
      <c r="C8" s="3">
        <v>8617</v>
      </c>
      <c r="D8" s="3">
        <v>29515</v>
      </c>
      <c r="E8" s="3">
        <v>165</v>
      </c>
      <c r="F8" s="4" t="s">
        <v>22</v>
      </c>
    </row>
    <row r="9" spans="1:6" ht="32.25" customHeight="1" x14ac:dyDescent="0.15">
      <c r="A9" s="1" t="s">
        <v>5</v>
      </c>
      <c r="B9" s="2">
        <f t="shared" si="0"/>
        <v>29975</v>
      </c>
      <c r="C9" s="3">
        <v>6269</v>
      </c>
      <c r="D9" s="3">
        <v>23664</v>
      </c>
      <c r="E9" s="3">
        <v>42</v>
      </c>
      <c r="F9" s="4"/>
    </row>
    <row r="10" spans="1:6" ht="32.25" customHeight="1" x14ac:dyDescent="0.15">
      <c r="A10" s="1" t="s">
        <v>6</v>
      </c>
      <c r="B10" s="2">
        <f t="shared" si="0"/>
        <v>31644</v>
      </c>
      <c r="C10" s="3">
        <v>8814</v>
      </c>
      <c r="D10" s="3">
        <v>22696</v>
      </c>
      <c r="E10" s="3">
        <v>134</v>
      </c>
      <c r="F10" s="4"/>
    </row>
    <row r="11" spans="1:6" ht="32.25" customHeight="1" x14ac:dyDescent="0.15">
      <c r="A11" s="1" t="s">
        <v>7</v>
      </c>
      <c r="B11" s="2">
        <f t="shared" si="0"/>
        <v>38762</v>
      </c>
      <c r="C11" s="3">
        <v>5709</v>
      </c>
      <c r="D11" s="3">
        <v>31381</v>
      </c>
      <c r="E11" s="3">
        <v>1672</v>
      </c>
      <c r="F11" s="4"/>
    </row>
    <row r="12" spans="1:6" ht="32.25" customHeight="1" x14ac:dyDescent="0.15">
      <c r="A12" s="1" t="s">
        <v>8</v>
      </c>
      <c r="B12" s="2">
        <f t="shared" si="0"/>
        <v>48369</v>
      </c>
      <c r="C12" s="3">
        <v>10186</v>
      </c>
      <c r="D12" s="3">
        <v>38071</v>
      </c>
      <c r="E12" s="3">
        <v>112</v>
      </c>
      <c r="F12" s="4"/>
    </row>
    <row r="13" spans="1:6" ht="32.25" customHeight="1" x14ac:dyDescent="0.15">
      <c r="A13" s="1" t="s">
        <v>9</v>
      </c>
      <c r="B13" s="2">
        <f t="shared" si="0"/>
        <v>57908</v>
      </c>
      <c r="C13" s="3">
        <v>11697</v>
      </c>
      <c r="D13" s="3">
        <v>45776</v>
      </c>
      <c r="E13" s="3">
        <v>435</v>
      </c>
      <c r="F13" s="4"/>
    </row>
    <row r="14" spans="1:6" ht="32.25" customHeight="1" x14ac:dyDescent="0.15">
      <c r="A14" s="1" t="s">
        <v>10</v>
      </c>
      <c r="B14" s="2">
        <f t="shared" si="0"/>
        <v>53761</v>
      </c>
      <c r="C14" s="3">
        <v>10166</v>
      </c>
      <c r="D14" s="3">
        <v>43546</v>
      </c>
      <c r="E14" s="3">
        <v>49</v>
      </c>
      <c r="F14" s="4"/>
    </row>
    <row r="15" spans="1:6" ht="32.25" customHeight="1" x14ac:dyDescent="0.15">
      <c r="A15" s="1" t="s">
        <v>11</v>
      </c>
      <c r="B15" s="2">
        <f t="shared" si="0"/>
        <v>53042</v>
      </c>
      <c r="C15" s="3">
        <v>7919</v>
      </c>
      <c r="D15" s="3">
        <v>44891</v>
      </c>
      <c r="E15" s="3">
        <v>232</v>
      </c>
      <c r="F15" s="4"/>
    </row>
    <row r="16" spans="1:6" ht="32.25" customHeight="1" x14ac:dyDescent="0.15">
      <c r="A16" s="1" t="s">
        <v>12</v>
      </c>
      <c r="B16" s="2">
        <f t="shared" si="0"/>
        <v>504938</v>
      </c>
      <c r="C16" s="3">
        <f>SUM(C4:C15)</f>
        <v>105866</v>
      </c>
      <c r="D16" s="3">
        <f>SUM(D4:D15)</f>
        <v>395255</v>
      </c>
      <c r="E16" s="3">
        <f>SUM(E4:E15)</f>
        <v>3817</v>
      </c>
      <c r="F16" s="4"/>
    </row>
  </sheetData>
  <mergeCells count="2">
    <mergeCell ref="A1:F1"/>
    <mergeCell ref="A2:F2"/>
  </mergeCells>
  <phoneticPr fontId="3" type="noConversion"/>
  <pageMargins left="0.75" right="0.75" top="1" bottom="1" header="0.5" footer="0.5"/>
  <pageSetup paperSize="9" orientation="portrait" horizontalDpi="1200" verticalDpi="1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topLeftCell="A7" workbookViewId="0">
      <selection sqref="A1:F1"/>
    </sheetView>
  </sheetViews>
  <sheetFormatPr defaultRowHeight="13.5" x14ac:dyDescent="0.15"/>
  <cols>
    <col min="1" max="1" width="13.44140625" customWidth="1"/>
    <col min="2" max="2" width="16.109375" customWidth="1"/>
    <col min="3" max="3" width="13.21875" customWidth="1"/>
    <col min="4" max="4" width="12.109375" customWidth="1"/>
    <col min="5" max="5" width="11.109375" customWidth="1"/>
    <col min="6" max="6" width="7.88671875" customWidth="1"/>
  </cols>
  <sheetData>
    <row r="1" spans="1:6" ht="51" customHeight="1" x14ac:dyDescent="0.15">
      <c r="A1" s="73" t="s">
        <v>43</v>
      </c>
      <c r="B1" s="73"/>
      <c r="C1" s="73"/>
      <c r="D1" s="73"/>
      <c r="E1" s="73"/>
      <c r="F1" s="73"/>
    </row>
    <row r="2" spans="1:6" ht="21.2" customHeight="1" x14ac:dyDescent="0.15">
      <c r="A2" s="72" t="s">
        <v>23</v>
      </c>
      <c r="B2" s="72"/>
      <c r="C2" s="72"/>
      <c r="D2" s="72"/>
      <c r="E2" s="72"/>
      <c r="F2" s="72"/>
    </row>
    <row r="3" spans="1:6" ht="37.5" x14ac:dyDescent="0.25">
      <c r="A3" s="5" t="s">
        <v>24</v>
      </c>
      <c r="B3" s="6" t="s">
        <v>25</v>
      </c>
      <c r="C3" s="6" t="s">
        <v>26</v>
      </c>
      <c r="D3" s="6" t="s">
        <v>27</v>
      </c>
      <c r="E3" s="6" t="s">
        <v>28</v>
      </c>
      <c r="F3" s="6" t="s">
        <v>29</v>
      </c>
    </row>
    <row r="4" spans="1:6" ht="32.25" customHeight="1" x14ac:dyDescent="0.15">
      <c r="A4" s="1" t="s">
        <v>30</v>
      </c>
      <c r="B4" s="2">
        <f>SUM(C4:D4:E4)</f>
        <v>45236</v>
      </c>
      <c r="C4" s="3">
        <v>9903</v>
      </c>
      <c r="D4" s="3">
        <v>35229</v>
      </c>
      <c r="E4" s="3">
        <v>104</v>
      </c>
      <c r="F4" s="2"/>
    </row>
    <row r="5" spans="1:6" ht="32.25" customHeight="1" x14ac:dyDescent="0.15">
      <c r="A5" s="1" t="s">
        <v>31</v>
      </c>
      <c r="B5" s="2">
        <f>SUM(C5:D5:E5)</f>
        <v>43758</v>
      </c>
      <c r="C5" s="3">
        <v>8003</v>
      </c>
      <c r="D5" s="3">
        <v>35688</v>
      </c>
      <c r="E5" s="3">
        <v>67</v>
      </c>
      <c r="F5" s="4"/>
    </row>
    <row r="6" spans="1:6" ht="32.25" customHeight="1" x14ac:dyDescent="0.15">
      <c r="A6" s="1" t="s">
        <v>32</v>
      </c>
      <c r="B6" s="2">
        <f>SUM(C6:D6:E6)</f>
        <v>44888</v>
      </c>
      <c r="C6" s="3">
        <v>10174</v>
      </c>
      <c r="D6" s="3">
        <v>34688</v>
      </c>
      <c r="E6" s="3">
        <v>26</v>
      </c>
      <c r="F6" s="4"/>
    </row>
    <row r="7" spans="1:6" ht="32.25" customHeight="1" x14ac:dyDescent="0.15">
      <c r="A7" s="1" t="s">
        <v>33</v>
      </c>
      <c r="B7" s="2">
        <f>SUM(C7:D7:E7)</f>
        <v>48387</v>
      </c>
      <c r="C7" s="3">
        <v>10878</v>
      </c>
      <c r="D7" s="3">
        <v>37477</v>
      </c>
      <c r="E7" s="3">
        <v>32</v>
      </c>
      <c r="F7" s="4"/>
    </row>
    <row r="8" spans="1:6" ht="32.25" customHeight="1" x14ac:dyDescent="0.15">
      <c r="A8" s="1" t="s">
        <v>34</v>
      </c>
      <c r="B8" s="2">
        <f>SUM(C8:D8:E8)</f>
        <v>48657</v>
      </c>
      <c r="C8" s="3">
        <v>11606</v>
      </c>
      <c r="D8" s="3">
        <v>36875</v>
      </c>
      <c r="E8" s="3">
        <v>176</v>
      </c>
      <c r="F8" s="4"/>
    </row>
    <row r="9" spans="1:6" ht="32.25" customHeight="1" x14ac:dyDescent="0.15">
      <c r="A9" s="1" t="s">
        <v>35</v>
      </c>
      <c r="B9" s="2">
        <f>SUM(C9:D9:E9)</f>
        <v>51894</v>
      </c>
      <c r="C9" s="3">
        <v>9687</v>
      </c>
      <c r="D9" s="3">
        <v>42124</v>
      </c>
      <c r="E9" s="3">
        <v>83</v>
      </c>
      <c r="F9" s="4"/>
    </row>
    <row r="10" spans="1:6" ht="32.25" customHeight="1" x14ac:dyDescent="0.15">
      <c r="A10" s="1" t="s">
        <v>36</v>
      </c>
      <c r="B10" s="2">
        <f>SUM(C10:D10:E10)</f>
        <v>44326</v>
      </c>
      <c r="C10" s="3">
        <v>5798</v>
      </c>
      <c r="D10" s="3">
        <v>38316</v>
      </c>
      <c r="E10" s="3">
        <v>212</v>
      </c>
      <c r="F10" s="4"/>
    </row>
    <row r="11" spans="1:6" ht="32.25" customHeight="1" x14ac:dyDescent="0.15">
      <c r="A11" s="1" t="s">
        <v>37</v>
      </c>
      <c r="B11" s="2">
        <f>SUM(C11:D11:E11)</f>
        <v>21221</v>
      </c>
      <c r="C11" s="3">
        <v>7703</v>
      </c>
      <c r="D11" s="3">
        <v>13321</v>
      </c>
      <c r="E11" s="3">
        <v>197</v>
      </c>
      <c r="F11" s="4"/>
    </row>
    <row r="12" spans="1:6" ht="32.25" customHeight="1" x14ac:dyDescent="0.15">
      <c r="A12" s="1" t="s">
        <v>38</v>
      </c>
      <c r="B12" s="2">
        <f>SUM(C12:D12:E12)</f>
        <v>46697</v>
      </c>
      <c r="C12" s="3">
        <v>12193</v>
      </c>
      <c r="D12" s="3">
        <v>34330</v>
      </c>
      <c r="E12" s="3">
        <v>174</v>
      </c>
      <c r="F12" s="4"/>
    </row>
    <row r="13" spans="1:6" ht="32.25" customHeight="1" x14ac:dyDescent="0.15">
      <c r="A13" s="1" t="s">
        <v>39</v>
      </c>
      <c r="B13" s="2">
        <f>SUM(C13:D13:E13)</f>
        <v>55986</v>
      </c>
      <c r="C13" s="3">
        <v>13675</v>
      </c>
      <c r="D13" s="3">
        <v>42042</v>
      </c>
      <c r="E13" s="3">
        <v>269</v>
      </c>
      <c r="F13" s="4"/>
    </row>
    <row r="14" spans="1:6" ht="32.25" customHeight="1" x14ac:dyDescent="0.15">
      <c r="A14" s="1" t="s">
        <v>40</v>
      </c>
      <c r="B14" s="2">
        <f>SUM(C14:D14:E14)</f>
        <v>62652</v>
      </c>
      <c r="C14" s="3">
        <v>17144</v>
      </c>
      <c r="D14" s="3">
        <v>45341</v>
      </c>
      <c r="E14" s="3">
        <v>167</v>
      </c>
      <c r="F14" s="4"/>
    </row>
    <row r="15" spans="1:6" ht="32.25" customHeight="1" x14ac:dyDescent="0.15">
      <c r="A15" s="1" t="s">
        <v>41</v>
      </c>
      <c r="B15" s="2">
        <f>SUM(C15:D15:E15)</f>
        <v>58725</v>
      </c>
      <c r="C15" s="3">
        <v>15047</v>
      </c>
      <c r="D15" s="3">
        <v>43598</v>
      </c>
      <c r="E15" s="3">
        <v>80</v>
      </c>
      <c r="F15" s="4"/>
    </row>
    <row r="16" spans="1:6" ht="32.25" customHeight="1" x14ac:dyDescent="0.15">
      <c r="A16" s="7" t="s">
        <v>42</v>
      </c>
      <c r="B16" s="8">
        <v>572427</v>
      </c>
      <c r="C16" s="8">
        <v>131811</v>
      </c>
      <c r="D16" s="8">
        <v>439029</v>
      </c>
      <c r="E16" s="8">
        <v>1587</v>
      </c>
      <c r="F16" s="9"/>
    </row>
  </sheetData>
  <mergeCells count="2">
    <mergeCell ref="A1:F1"/>
    <mergeCell ref="A2:F2"/>
  </mergeCells>
  <phoneticPr fontId="3" type="noConversion"/>
  <pageMargins left="0.75" right="0.75" top="1" bottom="1" header="0.5" footer="0.5"/>
  <pageSetup paperSize="9" orientation="portrait" horizontalDpi="1200" verticalDpi="12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topLeftCell="A7" workbookViewId="0">
      <selection sqref="A1:F1"/>
    </sheetView>
  </sheetViews>
  <sheetFormatPr defaultRowHeight="13.5" x14ac:dyDescent="0.15"/>
  <cols>
    <col min="1" max="1" width="13.44140625" customWidth="1"/>
    <col min="2" max="2" width="16.109375" customWidth="1"/>
    <col min="3" max="3" width="13.21875" customWidth="1"/>
    <col min="4" max="4" width="12.109375" customWidth="1"/>
    <col min="5" max="5" width="11.109375" customWidth="1"/>
    <col min="6" max="6" width="7.88671875" customWidth="1"/>
  </cols>
  <sheetData>
    <row r="1" spans="1:6" ht="51" customHeight="1" x14ac:dyDescent="0.15">
      <c r="A1" s="73" t="s">
        <v>61</v>
      </c>
      <c r="B1" s="73"/>
      <c r="C1" s="73"/>
      <c r="D1" s="73"/>
      <c r="E1" s="73"/>
      <c r="F1" s="73"/>
    </row>
    <row r="2" spans="1:6" ht="21.2" customHeight="1" x14ac:dyDescent="0.15">
      <c r="A2" s="72" t="s">
        <v>23</v>
      </c>
      <c r="B2" s="72"/>
      <c r="C2" s="72"/>
      <c r="D2" s="72"/>
      <c r="E2" s="72"/>
      <c r="F2" s="72"/>
    </row>
    <row r="3" spans="1:6" ht="37.5" x14ac:dyDescent="0.25">
      <c r="A3" s="5" t="s">
        <v>24</v>
      </c>
      <c r="B3" s="6" t="s">
        <v>25</v>
      </c>
      <c r="C3" s="6" t="s">
        <v>44</v>
      </c>
      <c r="D3" s="6" t="s">
        <v>45</v>
      </c>
      <c r="E3" s="6" t="s">
        <v>46</v>
      </c>
      <c r="F3" s="6" t="s">
        <v>47</v>
      </c>
    </row>
    <row r="4" spans="1:6" ht="32.25" customHeight="1" x14ac:dyDescent="0.15">
      <c r="A4" s="1" t="s">
        <v>48</v>
      </c>
      <c r="B4" s="2">
        <f>SUM(C4:D4:E4)</f>
        <v>49873</v>
      </c>
      <c r="C4" s="3">
        <v>8359</v>
      </c>
      <c r="D4" s="3">
        <v>41323</v>
      </c>
      <c r="E4" s="3">
        <v>191</v>
      </c>
      <c r="F4" s="2"/>
    </row>
    <row r="5" spans="1:6" ht="32.25" customHeight="1" x14ac:dyDescent="0.15">
      <c r="A5" s="1" t="s">
        <v>49</v>
      </c>
      <c r="B5" s="2">
        <f>SUM(C5:D5:E5)</f>
        <v>59171</v>
      </c>
      <c r="C5" s="3">
        <v>5511</v>
      </c>
      <c r="D5" s="3">
        <v>53653</v>
      </c>
      <c r="E5" s="3">
        <v>7</v>
      </c>
      <c r="F5" s="4"/>
    </row>
    <row r="6" spans="1:6" ht="32.25" customHeight="1" x14ac:dyDescent="0.15">
      <c r="A6" s="1" t="s">
        <v>50</v>
      </c>
      <c r="B6" s="2">
        <f>SUM(C6:D6:E6)</f>
        <v>61530</v>
      </c>
      <c r="C6" s="3">
        <v>8394</v>
      </c>
      <c r="D6" s="3">
        <v>53127</v>
      </c>
      <c r="E6" s="3">
        <v>9</v>
      </c>
      <c r="F6" s="4"/>
    </row>
    <row r="7" spans="1:6" ht="32.25" customHeight="1" x14ac:dyDescent="0.15">
      <c r="A7" s="1" t="s">
        <v>51</v>
      </c>
      <c r="B7" s="2">
        <f>SUM(C7:D7:E7)</f>
        <v>73329</v>
      </c>
      <c r="C7" s="3">
        <v>12437</v>
      </c>
      <c r="D7" s="3">
        <v>60832</v>
      </c>
      <c r="E7" s="3">
        <v>60</v>
      </c>
      <c r="F7" s="4"/>
    </row>
    <row r="8" spans="1:6" ht="32.25" customHeight="1" x14ac:dyDescent="0.15">
      <c r="A8" s="1" t="s">
        <v>52</v>
      </c>
      <c r="B8" s="2">
        <f>SUM(C8:D8:E8)</f>
        <v>60378</v>
      </c>
      <c r="C8" s="3">
        <v>9172</v>
      </c>
      <c r="D8" s="3">
        <v>51183</v>
      </c>
      <c r="E8" s="3">
        <v>23</v>
      </c>
      <c r="F8" s="4"/>
    </row>
    <row r="9" spans="1:6" ht="32.25" customHeight="1" x14ac:dyDescent="0.15">
      <c r="A9" s="1" t="s">
        <v>53</v>
      </c>
      <c r="B9" s="2">
        <f>SUM(C9:D9:E9)</f>
        <v>72129</v>
      </c>
      <c r="C9" s="3">
        <v>11418</v>
      </c>
      <c r="D9" s="3">
        <v>60709</v>
      </c>
      <c r="E9" s="3">
        <v>2</v>
      </c>
      <c r="F9" s="4"/>
    </row>
    <row r="10" spans="1:6" ht="32.25" customHeight="1" x14ac:dyDescent="0.15">
      <c r="A10" s="1" t="s">
        <v>54</v>
      </c>
      <c r="B10" s="2">
        <f>SUM(C10:D10:E10)</f>
        <v>59752</v>
      </c>
      <c r="C10" s="3">
        <v>14660</v>
      </c>
      <c r="D10" s="3">
        <v>45091</v>
      </c>
      <c r="E10" s="3">
        <v>1</v>
      </c>
      <c r="F10" s="4"/>
    </row>
    <row r="11" spans="1:6" ht="32.25" customHeight="1" x14ac:dyDescent="0.15">
      <c r="A11" s="1" t="s">
        <v>55</v>
      </c>
      <c r="B11" s="2">
        <v>53596</v>
      </c>
      <c r="C11" s="3">
        <v>13420</v>
      </c>
      <c r="D11" s="3">
        <v>40175</v>
      </c>
      <c r="E11" s="3">
        <v>1</v>
      </c>
      <c r="F11" s="4"/>
    </row>
    <row r="12" spans="1:6" ht="32.25" customHeight="1" x14ac:dyDescent="0.15">
      <c r="A12" s="1" t="s">
        <v>56</v>
      </c>
      <c r="B12" s="2">
        <v>63829</v>
      </c>
      <c r="C12" s="3">
        <v>12104</v>
      </c>
      <c r="D12" s="3">
        <v>51724</v>
      </c>
      <c r="E12" s="3">
        <v>1</v>
      </c>
      <c r="F12" s="4"/>
    </row>
    <row r="13" spans="1:6" ht="32.25" customHeight="1" x14ac:dyDescent="0.15">
      <c r="A13" s="1" t="s">
        <v>57</v>
      </c>
      <c r="B13" s="2">
        <v>59800</v>
      </c>
      <c r="C13" s="3">
        <v>9322</v>
      </c>
      <c r="D13" s="3">
        <v>50476</v>
      </c>
      <c r="E13" s="3">
        <v>2</v>
      </c>
      <c r="F13" s="4"/>
    </row>
    <row r="14" spans="1:6" ht="32.25" customHeight="1" x14ac:dyDescent="0.15">
      <c r="A14" s="1" t="s">
        <v>58</v>
      </c>
      <c r="B14" s="2">
        <v>75889</v>
      </c>
      <c r="C14" s="3">
        <v>12352</v>
      </c>
      <c r="D14" s="3">
        <v>62352</v>
      </c>
      <c r="E14" s="3">
        <v>1185</v>
      </c>
      <c r="F14" s="4"/>
    </row>
    <row r="15" spans="1:6" ht="32.25" customHeight="1" x14ac:dyDescent="0.15">
      <c r="A15" s="1" t="s">
        <v>59</v>
      </c>
      <c r="B15" s="2">
        <v>80622</v>
      </c>
      <c r="C15" s="3">
        <v>10186</v>
      </c>
      <c r="D15" s="3">
        <v>70432</v>
      </c>
      <c r="E15" s="3">
        <v>4</v>
      </c>
      <c r="F15" s="4"/>
    </row>
    <row r="16" spans="1:6" ht="32.25" customHeight="1" x14ac:dyDescent="0.15">
      <c r="A16" s="7" t="s">
        <v>60</v>
      </c>
      <c r="B16" s="8">
        <v>769898</v>
      </c>
      <c r="C16" s="8">
        <v>127335</v>
      </c>
      <c r="D16" s="8">
        <v>641077</v>
      </c>
      <c r="E16" s="8">
        <v>1486</v>
      </c>
      <c r="F16" s="9"/>
    </row>
  </sheetData>
  <mergeCells count="2">
    <mergeCell ref="A1:F1"/>
    <mergeCell ref="A2:F2"/>
  </mergeCells>
  <phoneticPr fontId="3" type="noConversion"/>
  <pageMargins left="0.75" right="0.75" top="1" bottom="1" header="0.5" footer="0.5"/>
  <pageSetup paperSize="9" orientation="portrait" horizontalDpi="1200" verticalDpi="12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topLeftCell="A7" workbookViewId="0">
      <selection activeCell="B14" sqref="B14"/>
    </sheetView>
  </sheetViews>
  <sheetFormatPr defaultRowHeight="13.5" x14ac:dyDescent="0.15"/>
  <cols>
    <col min="1" max="1" width="11.109375" customWidth="1"/>
    <col min="2" max="6" width="10.5546875" customWidth="1"/>
    <col min="7" max="7" width="13.5546875" customWidth="1"/>
  </cols>
  <sheetData>
    <row r="1" spans="1:7" ht="51" customHeight="1" x14ac:dyDescent="0.15">
      <c r="A1" s="73" t="s">
        <v>67</v>
      </c>
      <c r="B1" s="73"/>
      <c r="C1" s="73"/>
      <c r="D1" s="73"/>
      <c r="E1" s="73"/>
      <c r="F1" s="73"/>
      <c r="G1" s="73"/>
    </row>
    <row r="2" spans="1:7" ht="21.2" customHeight="1" x14ac:dyDescent="0.15">
      <c r="A2" s="74" t="s">
        <v>66</v>
      </c>
      <c r="B2" s="74"/>
      <c r="C2" s="74"/>
      <c r="D2" s="74"/>
      <c r="E2" s="74"/>
      <c r="F2" s="74"/>
      <c r="G2" s="74"/>
    </row>
    <row r="3" spans="1:7" s="10" customFormat="1" ht="37.5" customHeight="1" x14ac:dyDescent="0.25">
      <c r="A3" s="16" t="s">
        <v>65</v>
      </c>
      <c r="B3" s="17" t="s">
        <v>25</v>
      </c>
      <c r="C3" s="17" t="s">
        <v>68</v>
      </c>
      <c r="D3" s="17" t="s">
        <v>69</v>
      </c>
      <c r="E3" s="17" t="s">
        <v>62</v>
      </c>
      <c r="F3" s="17" t="s">
        <v>63</v>
      </c>
      <c r="G3" s="17" t="s">
        <v>64</v>
      </c>
    </row>
    <row r="4" spans="1:7" s="10" customFormat="1" ht="35.450000000000003" customHeight="1" x14ac:dyDescent="0.15">
      <c r="A4" s="14" t="s">
        <v>48</v>
      </c>
      <c r="B4" s="11">
        <f>SUM(C4:F4)</f>
        <v>74204</v>
      </c>
      <c r="C4" s="12">
        <v>62413</v>
      </c>
      <c r="D4" s="12">
        <v>7847</v>
      </c>
      <c r="E4" s="12">
        <v>3929</v>
      </c>
      <c r="F4" s="18">
        <v>15</v>
      </c>
      <c r="G4" s="13"/>
    </row>
    <row r="5" spans="1:7" s="10" customFormat="1" ht="35.450000000000003" customHeight="1" x14ac:dyDescent="0.15">
      <c r="A5" s="14" t="s">
        <v>49</v>
      </c>
      <c r="B5" s="11">
        <f t="shared" ref="B5:B15" si="0">SUM(C5:F5)</f>
        <v>53703</v>
      </c>
      <c r="C5" s="12">
        <v>42872</v>
      </c>
      <c r="D5" s="12">
        <v>9729</v>
      </c>
      <c r="E5" s="12">
        <v>1015</v>
      </c>
      <c r="F5" s="18">
        <v>87</v>
      </c>
      <c r="G5" s="13"/>
    </row>
    <row r="6" spans="1:7" s="10" customFormat="1" ht="35.450000000000003" customHeight="1" x14ac:dyDescent="0.15">
      <c r="A6" s="14" t="s">
        <v>50</v>
      </c>
      <c r="B6" s="11">
        <f>SUM(C6:F6)</f>
        <v>68720</v>
      </c>
      <c r="C6" s="12">
        <v>60198</v>
      </c>
      <c r="D6" s="12">
        <v>5119</v>
      </c>
      <c r="E6" s="12">
        <v>3392</v>
      </c>
      <c r="F6" s="18">
        <v>11</v>
      </c>
      <c r="G6" s="13"/>
    </row>
    <row r="7" spans="1:7" s="10" customFormat="1" ht="35.450000000000003" customHeight="1" x14ac:dyDescent="0.15">
      <c r="A7" s="14" t="s">
        <v>51</v>
      </c>
      <c r="B7" s="11">
        <f t="shared" si="0"/>
        <v>73511</v>
      </c>
      <c r="C7" s="12">
        <v>62576</v>
      </c>
      <c r="D7" s="12">
        <v>8935</v>
      </c>
      <c r="E7" s="12">
        <v>1913</v>
      </c>
      <c r="F7" s="19">
        <v>87</v>
      </c>
      <c r="G7" s="13"/>
    </row>
    <row r="8" spans="1:7" s="10" customFormat="1" ht="35.450000000000003" customHeight="1" x14ac:dyDescent="0.15">
      <c r="A8" s="14" t="s">
        <v>52</v>
      </c>
      <c r="B8" s="11">
        <f t="shared" si="0"/>
        <v>64021</v>
      </c>
      <c r="C8" s="12">
        <v>53398</v>
      </c>
      <c r="D8" s="12">
        <v>8844</v>
      </c>
      <c r="E8" s="12">
        <v>1776</v>
      </c>
      <c r="F8" s="19">
        <v>3</v>
      </c>
      <c r="G8" s="13"/>
    </row>
    <row r="9" spans="1:7" s="10" customFormat="1" ht="35.450000000000003" customHeight="1" x14ac:dyDescent="0.15">
      <c r="A9" s="14" t="s">
        <v>53</v>
      </c>
      <c r="B9" s="11">
        <f t="shared" si="0"/>
        <v>68838</v>
      </c>
      <c r="C9" s="12">
        <v>58588</v>
      </c>
      <c r="D9" s="12">
        <v>7633</v>
      </c>
      <c r="E9" s="12">
        <v>2603</v>
      </c>
      <c r="F9" s="19">
        <v>14</v>
      </c>
      <c r="G9" s="13"/>
    </row>
    <row r="10" spans="1:7" s="10" customFormat="1" ht="35.450000000000003" customHeight="1" x14ac:dyDescent="0.15">
      <c r="A10" s="14" t="s">
        <v>54</v>
      </c>
      <c r="B10" s="11">
        <f t="shared" si="0"/>
        <v>70247</v>
      </c>
      <c r="C10" s="12">
        <v>60190</v>
      </c>
      <c r="D10" s="12">
        <v>6593</v>
      </c>
      <c r="E10" s="12">
        <v>3354</v>
      </c>
      <c r="F10" s="19">
        <v>110</v>
      </c>
      <c r="G10" s="13"/>
    </row>
    <row r="11" spans="1:7" s="10" customFormat="1" ht="35.450000000000003" customHeight="1" x14ac:dyDescent="0.15">
      <c r="A11" s="14" t="s">
        <v>55</v>
      </c>
      <c r="B11" s="11">
        <f t="shared" si="0"/>
        <v>43799</v>
      </c>
      <c r="C11" s="12">
        <v>37448</v>
      </c>
      <c r="D11" s="12">
        <v>3501</v>
      </c>
      <c r="E11" s="12">
        <v>2806</v>
      </c>
      <c r="F11" s="19">
        <v>44</v>
      </c>
      <c r="G11" s="13"/>
    </row>
    <row r="12" spans="1:7" s="10" customFormat="1" ht="35.450000000000003" customHeight="1" x14ac:dyDescent="0.15">
      <c r="A12" s="14" t="s">
        <v>56</v>
      </c>
      <c r="B12" s="11">
        <f t="shared" si="0"/>
        <v>34738</v>
      </c>
      <c r="C12" s="12">
        <v>29117</v>
      </c>
      <c r="D12" s="12">
        <v>2802</v>
      </c>
      <c r="E12" s="12">
        <v>2789</v>
      </c>
      <c r="F12" s="19">
        <v>30</v>
      </c>
      <c r="G12" s="13"/>
    </row>
    <row r="13" spans="1:7" s="10" customFormat="1" ht="35.450000000000003" customHeight="1" x14ac:dyDescent="0.15">
      <c r="A13" s="14" t="s">
        <v>57</v>
      </c>
      <c r="B13" s="11">
        <f t="shared" si="0"/>
        <v>54795</v>
      </c>
      <c r="C13" s="12">
        <v>40765</v>
      </c>
      <c r="D13" s="12">
        <v>7405</v>
      </c>
      <c r="E13" s="12">
        <v>6623</v>
      </c>
      <c r="F13" s="19">
        <v>2</v>
      </c>
      <c r="G13" s="13"/>
    </row>
    <row r="14" spans="1:7" s="10" customFormat="1" ht="35.450000000000003" customHeight="1" x14ac:dyDescent="0.15">
      <c r="A14" s="14" t="s">
        <v>58</v>
      </c>
      <c r="B14" s="11">
        <f t="shared" si="0"/>
        <v>62475</v>
      </c>
      <c r="C14" s="12">
        <v>56643</v>
      </c>
      <c r="D14" s="12">
        <v>3879</v>
      </c>
      <c r="E14" s="12">
        <v>1793</v>
      </c>
      <c r="F14" s="19">
        <v>160</v>
      </c>
      <c r="G14" s="13"/>
    </row>
    <row r="15" spans="1:7" s="10" customFormat="1" ht="35.450000000000003" customHeight="1" x14ac:dyDescent="0.15">
      <c r="A15" s="14" t="s">
        <v>59</v>
      </c>
      <c r="B15" s="11">
        <f t="shared" si="0"/>
        <v>76801</v>
      </c>
      <c r="C15" s="12">
        <v>66226</v>
      </c>
      <c r="D15" s="12">
        <v>8019</v>
      </c>
      <c r="E15" s="12">
        <v>2339</v>
      </c>
      <c r="F15" s="19">
        <v>217</v>
      </c>
      <c r="G15" s="13"/>
    </row>
    <row r="16" spans="1:7" s="10" customFormat="1" ht="37.5" customHeight="1" x14ac:dyDescent="0.15">
      <c r="A16" s="14" t="s">
        <v>60</v>
      </c>
      <c r="B16" s="15">
        <f t="shared" ref="B16:G16" si="1">SUM(B4:B15)</f>
        <v>745852</v>
      </c>
      <c r="C16" s="15">
        <f t="shared" si="1"/>
        <v>630434</v>
      </c>
      <c r="D16" s="15">
        <f t="shared" si="1"/>
        <v>80306</v>
      </c>
      <c r="E16" s="15">
        <f t="shared" si="1"/>
        <v>34332</v>
      </c>
      <c r="F16" s="15">
        <f t="shared" si="1"/>
        <v>780</v>
      </c>
      <c r="G16" s="15">
        <f t="shared" si="1"/>
        <v>0</v>
      </c>
    </row>
    <row r="23" spans="3:3" x14ac:dyDescent="0.15">
      <c r="C23" s="20"/>
    </row>
  </sheetData>
  <mergeCells count="2">
    <mergeCell ref="A1:G1"/>
    <mergeCell ref="A2:G2"/>
  </mergeCells>
  <phoneticPr fontId="3" type="noConversion"/>
  <pageMargins left="0.56000000000000005" right="0.43" top="1" bottom="1" header="0.5" footer="0.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workbookViewId="0">
      <pane ySplit="3" topLeftCell="A10" activePane="bottomLeft" state="frozen"/>
      <selection pane="bottomLeft" activeCell="I16" sqref="I16"/>
    </sheetView>
  </sheetViews>
  <sheetFormatPr defaultRowHeight="13.5" x14ac:dyDescent="0.15"/>
  <cols>
    <col min="1" max="1" width="11.109375" customWidth="1"/>
    <col min="2" max="6" width="10.5546875" customWidth="1"/>
    <col min="7" max="7" width="13.5546875" customWidth="1"/>
  </cols>
  <sheetData>
    <row r="1" spans="1:7" ht="51" customHeight="1" x14ac:dyDescent="0.15">
      <c r="A1" s="73" t="s">
        <v>91</v>
      </c>
      <c r="B1" s="73"/>
      <c r="C1" s="73"/>
      <c r="D1" s="73"/>
      <c r="E1" s="73"/>
      <c r="F1" s="73"/>
      <c r="G1" s="73"/>
    </row>
    <row r="2" spans="1:7" ht="21.2" customHeight="1" x14ac:dyDescent="0.15">
      <c r="A2" s="74" t="s">
        <v>70</v>
      </c>
      <c r="B2" s="74"/>
      <c r="C2" s="74"/>
      <c r="D2" s="74"/>
      <c r="E2" s="74"/>
      <c r="F2" s="74"/>
      <c r="G2" s="74"/>
    </row>
    <row r="3" spans="1:7" s="10" customFormat="1" ht="37.5" customHeight="1" x14ac:dyDescent="0.25">
      <c r="A3" s="16" t="s">
        <v>71</v>
      </c>
      <c r="B3" s="17" t="s">
        <v>72</v>
      </c>
      <c r="C3" s="17" t="s">
        <v>73</v>
      </c>
      <c r="D3" s="17" t="s">
        <v>74</v>
      </c>
      <c r="E3" s="17" t="s">
        <v>75</v>
      </c>
      <c r="F3" s="17" t="s">
        <v>76</v>
      </c>
      <c r="G3" s="17" t="s">
        <v>77</v>
      </c>
    </row>
    <row r="4" spans="1:7" s="10" customFormat="1" ht="35.450000000000003" customHeight="1" x14ac:dyDescent="0.15">
      <c r="A4" s="14" t="s">
        <v>78</v>
      </c>
      <c r="B4" s="11">
        <f>SUM(C4,D4,E4,F4)</f>
        <v>70650</v>
      </c>
      <c r="C4" s="12">
        <v>61022</v>
      </c>
      <c r="D4" s="12">
        <v>4550</v>
      </c>
      <c r="E4" s="12">
        <v>5056</v>
      </c>
      <c r="F4" s="18">
        <v>22</v>
      </c>
      <c r="G4" s="13"/>
    </row>
    <row r="5" spans="1:7" s="10" customFormat="1" ht="35.450000000000003" customHeight="1" x14ac:dyDescent="0.15">
      <c r="A5" s="14" t="s">
        <v>79</v>
      </c>
      <c r="B5" s="11">
        <f t="shared" ref="B5:B15" si="0">SUM(C5,D5,E5,F5)</f>
        <v>58417</v>
      </c>
      <c r="C5" s="12">
        <v>50798</v>
      </c>
      <c r="D5" s="12">
        <v>5135</v>
      </c>
      <c r="E5" s="12">
        <v>2419</v>
      </c>
      <c r="F5" s="18">
        <v>65</v>
      </c>
      <c r="G5" s="13"/>
    </row>
    <row r="6" spans="1:7" s="10" customFormat="1" ht="35.450000000000003" customHeight="1" x14ac:dyDescent="0.15">
      <c r="A6" s="14" t="s">
        <v>80</v>
      </c>
      <c r="B6" s="11">
        <f t="shared" si="0"/>
        <v>76435</v>
      </c>
      <c r="C6" s="12">
        <v>64285</v>
      </c>
      <c r="D6" s="12">
        <v>7615</v>
      </c>
      <c r="E6" s="12">
        <v>4436</v>
      </c>
      <c r="F6" s="18">
        <v>99</v>
      </c>
      <c r="G6" s="13"/>
    </row>
    <row r="7" spans="1:7" s="10" customFormat="1" ht="35.450000000000003" customHeight="1" x14ac:dyDescent="0.15">
      <c r="A7" s="14" t="s">
        <v>81</v>
      </c>
      <c r="B7" s="11">
        <f t="shared" si="0"/>
        <v>69361</v>
      </c>
      <c r="C7" s="12">
        <v>57491</v>
      </c>
      <c r="D7" s="12">
        <v>6847</v>
      </c>
      <c r="E7" s="12">
        <v>4963</v>
      </c>
      <c r="F7" s="18">
        <v>60</v>
      </c>
      <c r="G7" s="13"/>
    </row>
    <row r="8" spans="1:7" s="10" customFormat="1" ht="35.450000000000003" customHeight="1" x14ac:dyDescent="0.15">
      <c r="A8" s="14" t="s">
        <v>82</v>
      </c>
      <c r="B8" s="11">
        <f t="shared" si="0"/>
        <v>60428</v>
      </c>
      <c r="C8" s="12">
        <v>53171</v>
      </c>
      <c r="D8" s="12">
        <v>6249</v>
      </c>
      <c r="E8" s="12">
        <v>936</v>
      </c>
      <c r="F8" s="19">
        <v>72</v>
      </c>
      <c r="G8" s="13"/>
    </row>
    <row r="9" spans="1:7" s="10" customFormat="1" ht="35.450000000000003" customHeight="1" x14ac:dyDescent="0.15">
      <c r="A9" s="14" t="s">
        <v>83</v>
      </c>
      <c r="B9" s="11">
        <f t="shared" si="0"/>
        <v>63316</v>
      </c>
      <c r="C9" s="12">
        <v>55096</v>
      </c>
      <c r="D9" s="12">
        <v>5565</v>
      </c>
      <c r="E9" s="12">
        <v>2616</v>
      </c>
      <c r="F9" s="19">
        <v>39</v>
      </c>
      <c r="G9" s="13"/>
    </row>
    <row r="10" spans="1:7" s="10" customFormat="1" ht="35.450000000000003" customHeight="1" x14ac:dyDescent="0.15">
      <c r="A10" s="14" t="s">
        <v>84</v>
      </c>
      <c r="B10" s="11">
        <f t="shared" si="0"/>
        <v>39250</v>
      </c>
      <c r="C10" s="12">
        <v>36046</v>
      </c>
      <c r="D10" s="12">
        <v>2799</v>
      </c>
      <c r="E10" s="12">
        <v>372</v>
      </c>
      <c r="F10" s="19">
        <v>33</v>
      </c>
      <c r="G10" s="13"/>
    </row>
    <row r="11" spans="1:7" s="10" customFormat="1" ht="35.450000000000003" customHeight="1" x14ac:dyDescent="0.15">
      <c r="A11" s="14" t="s">
        <v>85</v>
      </c>
      <c r="B11" s="11">
        <f t="shared" si="0"/>
        <v>23823</v>
      </c>
      <c r="C11" s="12">
        <v>20735</v>
      </c>
      <c r="D11" s="12">
        <v>3086</v>
      </c>
      <c r="E11" s="12">
        <v>2</v>
      </c>
      <c r="F11" s="19">
        <v>0</v>
      </c>
      <c r="G11" s="13"/>
    </row>
    <row r="12" spans="1:7" s="10" customFormat="1" ht="35.450000000000003" customHeight="1" x14ac:dyDescent="0.15">
      <c r="A12" s="14" t="s">
        <v>86</v>
      </c>
      <c r="B12" s="11">
        <f t="shared" si="0"/>
        <v>56520</v>
      </c>
      <c r="C12" s="12">
        <v>49460</v>
      </c>
      <c r="D12" s="12">
        <v>5950</v>
      </c>
      <c r="E12" s="12">
        <v>1032</v>
      </c>
      <c r="F12" s="19">
        <v>78</v>
      </c>
      <c r="G12" s="13"/>
    </row>
    <row r="13" spans="1:7" s="10" customFormat="1" ht="35.450000000000003" customHeight="1" x14ac:dyDescent="0.15">
      <c r="A13" s="14" t="s">
        <v>87</v>
      </c>
      <c r="B13" s="11">
        <f t="shared" si="0"/>
        <v>54561</v>
      </c>
      <c r="C13" s="12">
        <v>46926</v>
      </c>
      <c r="D13" s="12">
        <v>5216</v>
      </c>
      <c r="E13" s="12">
        <v>2418</v>
      </c>
      <c r="F13" s="19">
        <v>1</v>
      </c>
      <c r="G13" s="13"/>
    </row>
    <row r="14" spans="1:7" s="10" customFormat="1" ht="35.450000000000003" customHeight="1" x14ac:dyDescent="0.15">
      <c r="A14" s="14" t="s">
        <v>88</v>
      </c>
      <c r="B14" s="11">
        <f t="shared" si="0"/>
        <v>79578</v>
      </c>
      <c r="C14" s="12">
        <v>66861</v>
      </c>
      <c r="D14" s="12">
        <v>6562</v>
      </c>
      <c r="E14" s="12">
        <v>6078</v>
      </c>
      <c r="F14" s="19">
        <v>77</v>
      </c>
      <c r="G14" s="13"/>
    </row>
    <row r="15" spans="1:7" s="10" customFormat="1" ht="35.450000000000003" customHeight="1" x14ac:dyDescent="0.15">
      <c r="A15" s="14" t="s">
        <v>89</v>
      </c>
      <c r="B15" s="11">
        <f t="shared" si="0"/>
        <v>64788</v>
      </c>
      <c r="C15" s="12">
        <v>51405</v>
      </c>
      <c r="D15" s="12">
        <v>8318</v>
      </c>
      <c r="E15" s="12">
        <v>5048</v>
      </c>
      <c r="F15" s="19">
        <v>17</v>
      </c>
      <c r="G15" s="13"/>
    </row>
    <row r="16" spans="1:7" s="10" customFormat="1" ht="37.5" customHeight="1" x14ac:dyDescent="0.15">
      <c r="A16" s="14" t="s">
        <v>90</v>
      </c>
      <c r="B16" s="15">
        <f t="shared" ref="B16:G16" si="1">SUM(B4:B15)</f>
        <v>717127</v>
      </c>
      <c r="C16" s="15">
        <f t="shared" si="1"/>
        <v>613296</v>
      </c>
      <c r="D16" s="15">
        <f t="shared" si="1"/>
        <v>67892</v>
      </c>
      <c r="E16" s="15">
        <f t="shared" si="1"/>
        <v>35376</v>
      </c>
      <c r="F16" s="15">
        <f t="shared" si="1"/>
        <v>563</v>
      </c>
      <c r="G16" s="15">
        <f t="shared" si="1"/>
        <v>0</v>
      </c>
    </row>
  </sheetData>
  <mergeCells count="2">
    <mergeCell ref="A1:G1"/>
    <mergeCell ref="A2:G2"/>
  </mergeCells>
  <phoneticPr fontId="3" type="noConversion"/>
  <pageMargins left="0.56000000000000005" right="0.43" top="1" bottom="1" header="0.5" footer="0.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7"/>
  <sheetViews>
    <sheetView workbookViewId="0"/>
  </sheetViews>
  <sheetFormatPr defaultRowHeight="13.5" x14ac:dyDescent="0.15"/>
  <cols>
    <col min="1" max="1" width="3.77734375" customWidth="1"/>
    <col min="2" max="8" width="10.109375" customWidth="1"/>
  </cols>
  <sheetData>
    <row r="1" spans="2:8" ht="32.1" customHeight="1" x14ac:dyDescent="0.15"/>
    <row r="2" spans="2:8" ht="39.950000000000003" customHeight="1" x14ac:dyDescent="0.15">
      <c r="B2" s="75" t="s">
        <v>110</v>
      </c>
      <c r="C2" s="75"/>
      <c r="D2" s="75"/>
      <c r="E2" s="75"/>
      <c r="F2" s="75"/>
      <c r="G2" s="75"/>
      <c r="H2" s="75"/>
    </row>
    <row r="3" spans="2:8" ht="32.1" customHeight="1" x14ac:dyDescent="0.15">
      <c r="B3" s="24"/>
      <c r="C3" s="24"/>
      <c r="D3" s="24"/>
      <c r="E3" s="24"/>
      <c r="F3" s="24"/>
      <c r="G3" s="24"/>
      <c r="H3" s="24"/>
    </row>
    <row r="4" spans="2:8" s="10" customFormat="1" ht="32.1" customHeight="1" x14ac:dyDescent="0.15">
      <c r="B4" s="52" t="s">
        <v>205</v>
      </c>
      <c r="C4" s="53" t="s">
        <v>92</v>
      </c>
      <c r="D4" s="53" t="s">
        <v>93</v>
      </c>
      <c r="E4" s="53" t="s">
        <v>94</v>
      </c>
      <c r="F4" s="53" t="s">
        <v>95</v>
      </c>
      <c r="G4" s="53" t="s">
        <v>96</v>
      </c>
      <c r="H4" s="53" t="s">
        <v>97</v>
      </c>
    </row>
    <row r="5" spans="2:8" s="10" customFormat="1" ht="32.1" customHeight="1" x14ac:dyDescent="0.15">
      <c r="B5" s="53" t="s">
        <v>230</v>
      </c>
      <c r="C5" s="54">
        <f>SUM(C6:C17)</f>
        <v>650568</v>
      </c>
      <c r="D5" s="54">
        <f t="shared" ref="D5:F5" si="0">SUM(D6:D17)</f>
        <v>547070</v>
      </c>
      <c r="E5" s="54">
        <f t="shared" si="0"/>
        <v>72225</v>
      </c>
      <c r="F5" s="54">
        <f t="shared" si="0"/>
        <v>28115</v>
      </c>
      <c r="G5" s="54">
        <f>SUM(G6:G17)</f>
        <v>3158</v>
      </c>
      <c r="H5" s="53"/>
    </row>
    <row r="6" spans="2:8" s="10" customFormat="1" ht="32.1" customHeight="1" x14ac:dyDescent="0.15">
      <c r="B6" s="55" t="s">
        <v>98</v>
      </c>
      <c r="C6" s="25">
        <f t="shared" ref="C6:C17" si="1">SUM(D6,E6,F6,G6)</f>
        <v>42723</v>
      </c>
      <c r="D6" s="26">
        <v>37483</v>
      </c>
      <c r="E6" s="26">
        <v>4423</v>
      </c>
      <c r="F6" s="26">
        <v>716</v>
      </c>
      <c r="G6" s="27">
        <v>101</v>
      </c>
      <c r="H6" s="28"/>
    </row>
    <row r="7" spans="2:8" s="10" customFormat="1" ht="32.1" customHeight="1" x14ac:dyDescent="0.15">
      <c r="B7" s="55" t="s">
        <v>99</v>
      </c>
      <c r="C7" s="25">
        <f t="shared" si="1"/>
        <v>45696</v>
      </c>
      <c r="D7" s="26">
        <v>36637</v>
      </c>
      <c r="E7" s="26">
        <v>5353</v>
      </c>
      <c r="F7" s="26">
        <v>3560</v>
      </c>
      <c r="G7" s="27">
        <v>146</v>
      </c>
      <c r="H7" s="28"/>
    </row>
    <row r="8" spans="2:8" s="10" customFormat="1" ht="32.1" customHeight="1" x14ac:dyDescent="0.15">
      <c r="B8" s="55" t="s">
        <v>100</v>
      </c>
      <c r="C8" s="25">
        <f t="shared" si="1"/>
        <v>60153</v>
      </c>
      <c r="D8" s="26">
        <v>52128</v>
      </c>
      <c r="E8" s="26">
        <v>7416</v>
      </c>
      <c r="F8" s="26">
        <v>605</v>
      </c>
      <c r="G8" s="27">
        <v>4</v>
      </c>
      <c r="H8" s="28"/>
    </row>
    <row r="9" spans="2:8" s="10" customFormat="1" ht="32.1" customHeight="1" x14ac:dyDescent="0.15">
      <c r="B9" s="55" t="s">
        <v>101</v>
      </c>
      <c r="C9" s="25">
        <f t="shared" si="1"/>
        <v>59716</v>
      </c>
      <c r="D9" s="26">
        <v>48540</v>
      </c>
      <c r="E9" s="26">
        <v>7181</v>
      </c>
      <c r="F9" s="26">
        <v>3944</v>
      </c>
      <c r="G9" s="27">
        <v>51</v>
      </c>
      <c r="H9" s="28"/>
    </row>
    <row r="10" spans="2:8" s="10" customFormat="1" ht="32.1" customHeight="1" x14ac:dyDescent="0.15">
      <c r="B10" s="55" t="s">
        <v>102</v>
      </c>
      <c r="C10" s="25">
        <f t="shared" si="1"/>
        <v>54913</v>
      </c>
      <c r="D10" s="26">
        <v>44546</v>
      </c>
      <c r="E10" s="26">
        <v>7715</v>
      </c>
      <c r="F10" s="26">
        <v>2592</v>
      </c>
      <c r="G10" s="27">
        <v>60</v>
      </c>
      <c r="H10" s="28"/>
    </row>
    <row r="11" spans="2:8" s="10" customFormat="1" ht="32.1" customHeight="1" x14ac:dyDescent="0.15">
      <c r="B11" s="55" t="s">
        <v>103</v>
      </c>
      <c r="C11" s="25">
        <f t="shared" si="1"/>
        <v>55049</v>
      </c>
      <c r="D11" s="26">
        <v>46661</v>
      </c>
      <c r="E11" s="26">
        <v>6582</v>
      </c>
      <c r="F11" s="26">
        <v>1788</v>
      </c>
      <c r="G11" s="27">
        <v>18</v>
      </c>
      <c r="H11" s="28"/>
    </row>
    <row r="12" spans="2:8" s="10" customFormat="1" ht="32.1" customHeight="1" x14ac:dyDescent="0.15">
      <c r="B12" s="55" t="s">
        <v>104</v>
      </c>
      <c r="C12" s="25">
        <f t="shared" si="1"/>
        <v>47225</v>
      </c>
      <c r="D12" s="26">
        <v>36679</v>
      </c>
      <c r="E12" s="26">
        <v>7853</v>
      </c>
      <c r="F12" s="26">
        <v>2686</v>
      </c>
      <c r="G12" s="27">
        <v>7</v>
      </c>
      <c r="H12" s="28"/>
    </row>
    <row r="13" spans="2:8" s="10" customFormat="1" ht="32.1" customHeight="1" x14ac:dyDescent="0.15">
      <c r="B13" s="55" t="s">
        <v>105</v>
      </c>
      <c r="C13" s="25">
        <f t="shared" si="1"/>
        <v>31608</v>
      </c>
      <c r="D13" s="26">
        <v>24712</v>
      </c>
      <c r="E13" s="26">
        <v>3574</v>
      </c>
      <c r="F13" s="26">
        <v>3322</v>
      </c>
      <c r="G13" s="27">
        <v>0</v>
      </c>
      <c r="H13" s="28"/>
    </row>
    <row r="14" spans="2:8" s="10" customFormat="1" ht="32.1" customHeight="1" x14ac:dyDescent="0.15">
      <c r="B14" s="55" t="s">
        <v>106</v>
      </c>
      <c r="C14" s="25">
        <f t="shared" si="1"/>
        <v>51421</v>
      </c>
      <c r="D14" s="26">
        <v>44622</v>
      </c>
      <c r="E14" s="26">
        <v>5327</v>
      </c>
      <c r="F14" s="26">
        <v>1472</v>
      </c>
      <c r="G14" s="27">
        <v>0</v>
      </c>
      <c r="H14" s="28"/>
    </row>
    <row r="15" spans="2:8" s="10" customFormat="1" ht="32.1" customHeight="1" x14ac:dyDescent="0.15">
      <c r="B15" s="55" t="s">
        <v>107</v>
      </c>
      <c r="C15" s="25">
        <f t="shared" si="1"/>
        <v>71072</v>
      </c>
      <c r="D15" s="26">
        <v>60571</v>
      </c>
      <c r="E15" s="26">
        <v>7323</v>
      </c>
      <c r="F15" s="26">
        <v>3177</v>
      </c>
      <c r="G15" s="27">
        <v>1</v>
      </c>
      <c r="H15" s="28"/>
    </row>
    <row r="16" spans="2:8" s="10" customFormat="1" ht="32.1" customHeight="1" x14ac:dyDescent="0.15">
      <c r="B16" s="55" t="s">
        <v>108</v>
      </c>
      <c r="C16" s="25">
        <f t="shared" si="1"/>
        <v>70550</v>
      </c>
      <c r="D16" s="26">
        <v>62286</v>
      </c>
      <c r="E16" s="26">
        <v>5609</v>
      </c>
      <c r="F16" s="26">
        <v>1580</v>
      </c>
      <c r="G16" s="27">
        <v>1075</v>
      </c>
      <c r="H16" s="28"/>
    </row>
    <row r="17" spans="2:8" s="10" customFormat="1" ht="32.1" customHeight="1" x14ac:dyDescent="0.15">
      <c r="B17" s="55" t="s">
        <v>109</v>
      </c>
      <c r="C17" s="25">
        <f t="shared" si="1"/>
        <v>60442</v>
      </c>
      <c r="D17" s="26">
        <v>52205</v>
      </c>
      <c r="E17" s="26">
        <v>3869</v>
      </c>
      <c r="F17" s="26">
        <v>2673</v>
      </c>
      <c r="G17" s="27">
        <v>1695</v>
      </c>
      <c r="H17" s="28"/>
    </row>
  </sheetData>
  <mergeCells count="1">
    <mergeCell ref="B2:H2"/>
  </mergeCells>
  <phoneticPr fontId="3" type="noConversion"/>
  <pageMargins left="0.56000000000000005" right="0.43" top="1" bottom="1" header="0.5" footer="0.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7"/>
  <sheetViews>
    <sheetView workbookViewId="0"/>
  </sheetViews>
  <sheetFormatPr defaultRowHeight="13.5" x14ac:dyDescent="0.15"/>
  <cols>
    <col min="1" max="1" width="3.77734375" customWidth="1"/>
    <col min="2" max="9" width="10.109375" customWidth="1"/>
  </cols>
  <sheetData>
    <row r="1" spans="2:9" ht="32.1" customHeight="1" x14ac:dyDescent="0.15"/>
    <row r="2" spans="2:9" ht="39.950000000000003" customHeight="1" x14ac:dyDescent="0.15">
      <c r="B2" s="75" t="s">
        <v>129</v>
      </c>
      <c r="C2" s="76"/>
      <c r="D2" s="76"/>
      <c r="E2" s="76"/>
      <c r="F2" s="76"/>
      <c r="G2" s="76"/>
      <c r="H2" s="76"/>
      <c r="I2" s="76"/>
    </row>
    <row r="3" spans="2:9" ht="32.1" customHeight="1" x14ac:dyDescent="0.15">
      <c r="B3" s="23"/>
      <c r="C3" s="23"/>
      <c r="D3" s="23"/>
      <c r="E3" s="23"/>
      <c r="F3" s="23"/>
      <c r="G3" s="23"/>
      <c r="H3" s="23"/>
      <c r="I3" s="31" t="s">
        <v>207</v>
      </c>
    </row>
    <row r="4" spans="2:9" s="10" customFormat="1" ht="32.1" customHeight="1" x14ac:dyDescent="0.15">
      <c r="B4" s="52" t="s">
        <v>205</v>
      </c>
      <c r="C4" s="53" t="s">
        <v>111</v>
      </c>
      <c r="D4" s="53" t="s">
        <v>112</v>
      </c>
      <c r="E4" s="53" t="s">
        <v>113</v>
      </c>
      <c r="F4" s="53" t="s">
        <v>114</v>
      </c>
      <c r="G4" s="53" t="s">
        <v>130</v>
      </c>
      <c r="H4" s="53" t="s">
        <v>115</v>
      </c>
      <c r="I4" s="53" t="s">
        <v>116</v>
      </c>
    </row>
    <row r="5" spans="2:9" s="10" customFormat="1" ht="32.1" customHeight="1" x14ac:dyDescent="0.15">
      <c r="B5" s="52" t="s">
        <v>206</v>
      </c>
      <c r="C5" s="54">
        <f>SUM(C6:C17)</f>
        <v>590025</v>
      </c>
      <c r="D5" s="54">
        <f t="shared" ref="D5:H5" si="0">SUM(D6:D17)</f>
        <v>499681</v>
      </c>
      <c r="E5" s="54">
        <f t="shared" si="0"/>
        <v>66410</v>
      </c>
      <c r="F5" s="54">
        <f t="shared" si="0"/>
        <v>21355</v>
      </c>
      <c r="G5" s="54">
        <f t="shared" si="0"/>
        <v>1435</v>
      </c>
      <c r="H5" s="54">
        <f t="shared" si="0"/>
        <v>1144</v>
      </c>
      <c r="I5" s="53"/>
    </row>
    <row r="6" spans="2:9" s="10" customFormat="1" ht="32.1" customHeight="1" x14ac:dyDescent="0.15">
      <c r="B6" s="55" t="s">
        <v>117</v>
      </c>
      <c r="C6" s="25">
        <f>SUM(D6,E6,F6,G6,H6)</f>
        <v>60350</v>
      </c>
      <c r="D6" s="26">
        <v>50005</v>
      </c>
      <c r="E6" s="26">
        <v>6805</v>
      </c>
      <c r="F6" s="26">
        <v>2078</v>
      </c>
      <c r="G6" s="27">
        <v>1081</v>
      </c>
      <c r="H6" s="27">
        <v>381</v>
      </c>
      <c r="I6" s="28"/>
    </row>
    <row r="7" spans="2:9" s="10" customFormat="1" ht="32.1" customHeight="1" x14ac:dyDescent="0.15">
      <c r="B7" s="55" t="s">
        <v>118</v>
      </c>
      <c r="C7" s="25">
        <f t="shared" ref="C7:C17" si="1">SUM(D7,E7,F7,G7,H7)</f>
        <v>32939</v>
      </c>
      <c r="D7" s="26">
        <v>29656</v>
      </c>
      <c r="E7" s="26">
        <v>2945</v>
      </c>
      <c r="F7" s="26">
        <v>338</v>
      </c>
      <c r="G7" s="27"/>
      <c r="H7" s="27"/>
      <c r="I7" s="28"/>
    </row>
    <row r="8" spans="2:9" s="10" customFormat="1" ht="32.1" customHeight="1" x14ac:dyDescent="0.15">
      <c r="B8" s="55" t="s">
        <v>119</v>
      </c>
      <c r="C8" s="25">
        <f t="shared" si="1"/>
        <v>50171</v>
      </c>
      <c r="D8" s="26">
        <v>38818</v>
      </c>
      <c r="E8" s="26">
        <v>7634</v>
      </c>
      <c r="F8" s="26">
        <v>3719</v>
      </c>
      <c r="G8" s="27"/>
      <c r="H8" s="27"/>
      <c r="I8" s="28"/>
    </row>
    <row r="9" spans="2:9" s="10" customFormat="1" ht="32.1" customHeight="1" x14ac:dyDescent="0.15">
      <c r="B9" s="55" t="s">
        <v>120</v>
      </c>
      <c r="C9" s="25">
        <f t="shared" si="1"/>
        <v>50620</v>
      </c>
      <c r="D9" s="26">
        <v>43927</v>
      </c>
      <c r="E9" s="26">
        <v>6433</v>
      </c>
      <c r="F9" s="26">
        <v>260</v>
      </c>
      <c r="G9" s="27"/>
      <c r="H9" s="27"/>
      <c r="I9" s="28"/>
    </row>
    <row r="10" spans="2:9" s="10" customFormat="1" ht="32.1" customHeight="1" x14ac:dyDescent="0.15">
      <c r="B10" s="55" t="s">
        <v>121</v>
      </c>
      <c r="C10" s="25">
        <f t="shared" si="1"/>
        <v>47876</v>
      </c>
      <c r="D10" s="26">
        <v>40027</v>
      </c>
      <c r="E10" s="26">
        <v>6010</v>
      </c>
      <c r="F10" s="26">
        <v>1839</v>
      </c>
      <c r="G10" s="27"/>
      <c r="H10" s="27"/>
      <c r="I10" s="28"/>
    </row>
    <row r="11" spans="2:9" s="10" customFormat="1" ht="32.1" customHeight="1" x14ac:dyDescent="0.15">
      <c r="B11" s="55" t="s">
        <v>122</v>
      </c>
      <c r="C11" s="25">
        <f t="shared" si="1"/>
        <v>47125</v>
      </c>
      <c r="D11" s="26">
        <v>40317</v>
      </c>
      <c r="E11" s="26">
        <v>5700</v>
      </c>
      <c r="F11" s="26">
        <v>1100</v>
      </c>
      <c r="G11" s="27"/>
      <c r="H11" s="27">
        <v>8</v>
      </c>
      <c r="I11" s="28"/>
    </row>
    <row r="12" spans="2:9" s="10" customFormat="1" ht="32.1" customHeight="1" x14ac:dyDescent="0.15">
      <c r="B12" s="55" t="s">
        <v>123</v>
      </c>
      <c r="C12" s="25">
        <f t="shared" si="1"/>
        <v>48379</v>
      </c>
      <c r="D12" s="26">
        <v>38415</v>
      </c>
      <c r="E12" s="26">
        <v>5937</v>
      </c>
      <c r="F12" s="26">
        <v>3631</v>
      </c>
      <c r="G12" s="27">
        <v>354</v>
      </c>
      <c r="H12" s="27">
        <v>42</v>
      </c>
      <c r="I12" s="28"/>
    </row>
    <row r="13" spans="2:9" s="10" customFormat="1" ht="32.1" customHeight="1" x14ac:dyDescent="0.15">
      <c r="B13" s="55" t="s">
        <v>124</v>
      </c>
      <c r="C13" s="25">
        <f t="shared" si="1"/>
        <v>33791</v>
      </c>
      <c r="D13" s="26">
        <v>28077</v>
      </c>
      <c r="E13" s="26">
        <v>3739</v>
      </c>
      <c r="F13" s="26">
        <v>1975</v>
      </c>
      <c r="G13" s="27"/>
      <c r="H13" s="27"/>
      <c r="I13" s="28"/>
    </row>
    <row r="14" spans="2:9" s="10" customFormat="1" ht="32.1" customHeight="1" x14ac:dyDescent="0.15">
      <c r="B14" s="55" t="s">
        <v>125</v>
      </c>
      <c r="C14" s="25">
        <f t="shared" si="1"/>
        <v>28961</v>
      </c>
      <c r="D14" s="26">
        <v>25369</v>
      </c>
      <c r="E14" s="26">
        <v>2050</v>
      </c>
      <c r="F14" s="26">
        <v>1480</v>
      </c>
      <c r="G14" s="27"/>
      <c r="H14" s="27">
        <v>62</v>
      </c>
      <c r="I14" s="28"/>
    </row>
    <row r="15" spans="2:9" s="10" customFormat="1" ht="32.1" customHeight="1" x14ac:dyDescent="0.15">
      <c r="B15" s="55" t="s">
        <v>126</v>
      </c>
      <c r="C15" s="25">
        <f t="shared" si="1"/>
        <v>65737</v>
      </c>
      <c r="D15" s="26">
        <v>54827</v>
      </c>
      <c r="E15" s="26">
        <v>7915</v>
      </c>
      <c r="F15" s="26">
        <v>2995</v>
      </c>
      <c r="G15" s="27"/>
      <c r="H15" s="27"/>
      <c r="I15" s="28"/>
    </row>
    <row r="16" spans="2:9" s="10" customFormat="1" ht="32.1" customHeight="1" x14ac:dyDescent="0.15">
      <c r="B16" s="55" t="s">
        <v>127</v>
      </c>
      <c r="C16" s="25">
        <f t="shared" si="1"/>
        <v>65944</v>
      </c>
      <c r="D16" s="26">
        <v>58472</v>
      </c>
      <c r="E16" s="26">
        <v>6797</v>
      </c>
      <c r="F16" s="26">
        <v>668</v>
      </c>
      <c r="G16" s="27"/>
      <c r="H16" s="27">
        <v>7</v>
      </c>
      <c r="I16" s="28"/>
    </row>
    <row r="17" spans="2:9" s="10" customFormat="1" ht="71.25" x14ac:dyDescent="0.15">
      <c r="B17" s="55" t="s">
        <v>128</v>
      </c>
      <c r="C17" s="25">
        <f t="shared" si="1"/>
        <v>58132</v>
      </c>
      <c r="D17" s="26">
        <v>51771</v>
      </c>
      <c r="E17" s="26">
        <v>4445</v>
      </c>
      <c r="F17" s="26">
        <v>1272</v>
      </c>
      <c r="G17" s="27"/>
      <c r="H17" s="29">
        <v>644</v>
      </c>
      <c r="I17" s="30" t="s">
        <v>208</v>
      </c>
    </row>
  </sheetData>
  <mergeCells count="1">
    <mergeCell ref="B2:I2"/>
  </mergeCells>
  <phoneticPr fontId="3" type="noConversion"/>
  <pageMargins left="0.56000000000000005" right="0.43" top="1" bottom="1" header="0.5" footer="0.5"/>
  <pageSetup paperSize="9" scale="8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7"/>
  <sheetViews>
    <sheetView workbookViewId="0"/>
  </sheetViews>
  <sheetFormatPr defaultRowHeight="13.5" x14ac:dyDescent="0.15"/>
  <cols>
    <col min="1" max="1" width="3.77734375" customWidth="1"/>
    <col min="2" max="10" width="10.109375" customWidth="1"/>
  </cols>
  <sheetData>
    <row r="1" spans="2:10" ht="32.1" customHeight="1" x14ac:dyDescent="0.15"/>
    <row r="2" spans="2:10" ht="39.950000000000003" customHeight="1" x14ac:dyDescent="0.15">
      <c r="B2" s="75" t="s">
        <v>215</v>
      </c>
      <c r="C2" s="75"/>
      <c r="D2" s="75"/>
      <c r="E2" s="75"/>
      <c r="F2" s="75"/>
      <c r="G2" s="75"/>
      <c r="H2" s="75"/>
      <c r="I2" s="75"/>
      <c r="J2" s="75"/>
    </row>
    <row r="3" spans="2:10" ht="32.1" customHeight="1" x14ac:dyDescent="0.15">
      <c r="B3" s="74"/>
      <c r="C3" s="74"/>
      <c r="D3" s="74"/>
      <c r="E3" s="74"/>
      <c r="F3" s="74"/>
      <c r="G3" s="74"/>
      <c r="H3" s="74"/>
      <c r="I3" s="74"/>
      <c r="J3" s="74"/>
    </row>
    <row r="4" spans="2:10" s="10" customFormat="1" ht="32.1" customHeight="1" x14ac:dyDescent="0.15">
      <c r="B4" s="52" t="s">
        <v>205</v>
      </c>
      <c r="C4" s="53" t="s">
        <v>131</v>
      </c>
      <c r="D4" s="53" t="s">
        <v>132</v>
      </c>
      <c r="E4" s="53" t="s">
        <v>133</v>
      </c>
      <c r="F4" s="53" t="s">
        <v>134</v>
      </c>
      <c r="G4" s="53" t="s">
        <v>135</v>
      </c>
      <c r="H4" s="53" t="s">
        <v>136</v>
      </c>
      <c r="I4" s="53" t="s">
        <v>149</v>
      </c>
      <c r="J4" s="53" t="s">
        <v>150</v>
      </c>
    </row>
    <row r="5" spans="2:10" s="10" customFormat="1" ht="32.1" customHeight="1" x14ac:dyDescent="0.15">
      <c r="B5" s="53" t="s">
        <v>209</v>
      </c>
      <c r="C5" s="56">
        <f>SUM(D5:J5)</f>
        <v>547619</v>
      </c>
      <c r="D5" s="56">
        <f t="shared" ref="D5:J5" si="0">SUM(D6:D17)</f>
        <v>487624</v>
      </c>
      <c r="E5" s="56">
        <f t="shared" si="0"/>
        <v>29763</v>
      </c>
      <c r="F5" s="56">
        <f t="shared" si="0"/>
        <v>5892</v>
      </c>
      <c r="G5" s="56">
        <f t="shared" si="0"/>
        <v>66</v>
      </c>
      <c r="H5" s="56">
        <f t="shared" si="0"/>
        <v>1</v>
      </c>
      <c r="I5" s="56">
        <f t="shared" si="0"/>
        <v>2055</v>
      </c>
      <c r="J5" s="56">
        <f t="shared" si="0"/>
        <v>22218</v>
      </c>
    </row>
    <row r="6" spans="2:10" s="10" customFormat="1" ht="32.1" customHeight="1" x14ac:dyDescent="0.15">
      <c r="B6" s="55" t="s">
        <v>137</v>
      </c>
      <c r="C6" s="37">
        <f>SUM(D6,E6,F6,G6,H6,I6,J6)</f>
        <v>36379</v>
      </c>
      <c r="D6" s="38">
        <v>32682</v>
      </c>
      <c r="E6" s="38">
        <v>1593</v>
      </c>
      <c r="F6" s="38">
        <v>237</v>
      </c>
      <c r="G6" s="37"/>
      <c r="H6" s="37">
        <v>1</v>
      </c>
      <c r="I6" s="38">
        <v>140</v>
      </c>
      <c r="J6" s="38">
        <v>1726</v>
      </c>
    </row>
    <row r="7" spans="2:10" s="10" customFormat="1" ht="32.1" customHeight="1" x14ac:dyDescent="0.15">
      <c r="B7" s="55" t="s">
        <v>138</v>
      </c>
      <c r="C7" s="37">
        <f t="shared" ref="C7:C17" si="1">SUM(D7,E7,F7,G7,H7,I7,J7)</f>
        <v>35261</v>
      </c>
      <c r="D7" s="38">
        <v>31975</v>
      </c>
      <c r="E7" s="38">
        <v>1627</v>
      </c>
      <c r="F7" s="38">
        <v>329</v>
      </c>
      <c r="G7" s="37"/>
      <c r="H7" s="37"/>
      <c r="I7" s="38">
        <v>187</v>
      </c>
      <c r="J7" s="38">
        <v>1143</v>
      </c>
    </row>
    <row r="8" spans="2:10" s="10" customFormat="1" ht="32.1" customHeight="1" x14ac:dyDescent="0.15">
      <c r="B8" s="55" t="s">
        <v>139</v>
      </c>
      <c r="C8" s="37">
        <f t="shared" si="1"/>
        <v>42673</v>
      </c>
      <c r="D8" s="38">
        <v>39321</v>
      </c>
      <c r="E8" s="38">
        <v>2162</v>
      </c>
      <c r="F8" s="38"/>
      <c r="G8" s="37">
        <v>66</v>
      </c>
      <c r="H8" s="37"/>
      <c r="I8" s="38">
        <v>173</v>
      </c>
      <c r="J8" s="38">
        <v>951</v>
      </c>
    </row>
    <row r="9" spans="2:10" s="10" customFormat="1" ht="32.1" customHeight="1" x14ac:dyDescent="0.15">
      <c r="B9" s="55" t="s">
        <v>140</v>
      </c>
      <c r="C9" s="37">
        <f t="shared" si="1"/>
        <v>45273</v>
      </c>
      <c r="D9" s="38">
        <v>41726</v>
      </c>
      <c r="E9" s="38">
        <v>1282</v>
      </c>
      <c r="F9" s="38">
        <v>426</v>
      </c>
      <c r="G9" s="37"/>
      <c r="H9" s="37"/>
      <c r="I9" s="38">
        <v>51</v>
      </c>
      <c r="J9" s="38">
        <v>1788</v>
      </c>
    </row>
    <row r="10" spans="2:10" s="10" customFormat="1" ht="32.1" customHeight="1" x14ac:dyDescent="0.15">
      <c r="B10" s="55" t="s">
        <v>141</v>
      </c>
      <c r="C10" s="37">
        <f t="shared" si="1"/>
        <v>34204</v>
      </c>
      <c r="D10" s="38">
        <v>31521</v>
      </c>
      <c r="E10" s="38">
        <v>1316</v>
      </c>
      <c r="F10" s="38">
        <v>97</v>
      </c>
      <c r="G10" s="37"/>
      <c r="H10" s="37"/>
      <c r="I10" s="38">
        <v>110</v>
      </c>
      <c r="J10" s="38">
        <v>1160</v>
      </c>
    </row>
    <row r="11" spans="2:10" s="10" customFormat="1" ht="32.1" customHeight="1" x14ac:dyDescent="0.15">
      <c r="B11" s="55" t="s">
        <v>142</v>
      </c>
      <c r="C11" s="37">
        <f t="shared" si="1"/>
        <v>43665</v>
      </c>
      <c r="D11" s="38">
        <v>39038</v>
      </c>
      <c r="E11" s="38">
        <v>2657</v>
      </c>
      <c r="F11" s="38">
        <v>4</v>
      </c>
      <c r="G11" s="37"/>
      <c r="H11" s="37"/>
      <c r="I11" s="38">
        <v>207</v>
      </c>
      <c r="J11" s="38">
        <v>1759</v>
      </c>
    </row>
    <row r="12" spans="2:10" s="10" customFormat="1" ht="32.1" customHeight="1" x14ac:dyDescent="0.15">
      <c r="B12" s="55" t="s">
        <v>143</v>
      </c>
      <c r="C12" s="37">
        <f t="shared" si="1"/>
        <v>43847</v>
      </c>
      <c r="D12" s="38">
        <v>40027</v>
      </c>
      <c r="E12" s="38">
        <v>2087</v>
      </c>
      <c r="F12" s="38"/>
      <c r="G12" s="37"/>
      <c r="H12" s="37"/>
      <c r="I12" s="38">
        <v>162</v>
      </c>
      <c r="J12" s="38">
        <v>1571</v>
      </c>
    </row>
    <row r="13" spans="2:10" s="10" customFormat="1" ht="32.1" customHeight="1" x14ac:dyDescent="0.15">
      <c r="B13" s="55" t="s">
        <v>144</v>
      </c>
      <c r="C13" s="37">
        <f t="shared" si="1"/>
        <v>31151</v>
      </c>
      <c r="D13" s="38">
        <v>26820</v>
      </c>
      <c r="E13" s="38">
        <v>2352</v>
      </c>
      <c r="F13" s="38"/>
      <c r="G13" s="37"/>
      <c r="H13" s="37"/>
      <c r="I13" s="38">
        <v>76</v>
      </c>
      <c r="J13" s="38">
        <v>1903</v>
      </c>
    </row>
    <row r="14" spans="2:10" s="10" customFormat="1" ht="32.1" customHeight="1" x14ac:dyDescent="0.15">
      <c r="B14" s="55" t="s">
        <v>145</v>
      </c>
      <c r="C14" s="37">
        <f t="shared" si="1"/>
        <v>64762</v>
      </c>
      <c r="D14" s="38">
        <v>57227</v>
      </c>
      <c r="E14" s="38">
        <v>3945</v>
      </c>
      <c r="F14" s="38">
        <v>965</v>
      </c>
      <c r="G14" s="37"/>
      <c r="H14" s="37"/>
      <c r="I14" s="38">
        <v>229</v>
      </c>
      <c r="J14" s="38">
        <v>2396</v>
      </c>
    </row>
    <row r="15" spans="2:10" s="10" customFormat="1" ht="32.1" customHeight="1" x14ac:dyDescent="0.15">
      <c r="B15" s="55" t="s">
        <v>146</v>
      </c>
      <c r="C15" s="37">
        <f t="shared" si="1"/>
        <v>54241</v>
      </c>
      <c r="D15" s="38">
        <v>47962</v>
      </c>
      <c r="E15" s="38">
        <v>2513</v>
      </c>
      <c r="F15" s="38">
        <v>1724</v>
      </c>
      <c r="G15" s="37"/>
      <c r="H15" s="37"/>
      <c r="I15" s="38">
        <v>215</v>
      </c>
      <c r="J15" s="38">
        <v>1827</v>
      </c>
    </row>
    <row r="16" spans="2:10" s="10" customFormat="1" ht="32.1" customHeight="1" x14ac:dyDescent="0.15">
      <c r="B16" s="55" t="s">
        <v>147</v>
      </c>
      <c r="C16" s="37">
        <f t="shared" si="1"/>
        <v>60949</v>
      </c>
      <c r="D16" s="38">
        <v>52162</v>
      </c>
      <c r="E16" s="38">
        <v>4219</v>
      </c>
      <c r="F16" s="38">
        <v>1455</v>
      </c>
      <c r="G16" s="37"/>
      <c r="H16" s="37"/>
      <c r="I16" s="38">
        <v>177</v>
      </c>
      <c r="J16" s="38">
        <v>2936</v>
      </c>
    </row>
    <row r="17" spans="2:10" s="10" customFormat="1" ht="32.1" customHeight="1" x14ac:dyDescent="0.15">
      <c r="B17" s="55" t="s">
        <v>148</v>
      </c>
      <c r="C17" s="37">
        <f t="shared" si="1"/>
        <v>55214</v>
      </c>
      <c r="D17" s="38">
        <v>47163</v>
      </c>
      <c r="E17" s="38">
        <v>4010</v>
      </c>
      <c r="F17" s="38">
        <v>655</v>
      </c>
      <c r="G17" s="37"/>
      <c r="H17" s="39"/>
      <c r="I17" s="38">
        <v>328</v>
      </c>
      <c r="J17" s="40">
        <v>3058</v>
      </c>
    </row>
  </sheetData>
  <mergeCells count="2">
    <mergeCell ref="B2:J2"/>
    <mergeCell ref="B3:J3"/>
  </mergeCells>
  <phoneticPr fontId="3" type="noConversion"/>
  <pageMargins left="0.49" right="0.35" top="1" bottom="1" header="0.71" footer="0.5"/>
  <pageSetup paperSize="9" scale="80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7"/>
  <sheetViews>
    <sheetView workbookViewId="0"/>
  </sheetViews>
  <sheetFormatPr defaultRowHeight="13.5" x14ac:dyDescent="0.15"/>
  <cols>
    <col min="1" max="1" width="3.77734375" customWidth="1"/>
    <col min="2" max="11" width="10.109375" customWidth="1"/>
  </cols>
  <sheetData>
    <row r="1" spans="2:11" ht="32.1" customHeight="1" x14ac:dyDescent="0.15"/>
    <row r="2" spans="2:11" ht="39.950000000000003" customHeight="1" x14ac:dyDescent="0.15">
      <c r="B2" s="75" t="s">
        <v>216</v>
      </c>
      <c r="C2" s="75"/>
      <c r="D2" s="75"/>
      <c r="E2" s="75"/>
      <c r="F2" s="75"/>
      <c r="G2" s="75"/>
      <c r="H2" s="75"/>
      <c r="I2" s="75"/>
      <c r="J2" s="75"/>
      <c r="K2" s="75"/>
    </row>
    <row r="3" spans="2:11" ht="32.1" customHeight="1" x14ac:dyDescent="0.15">
      <c r="B3" s="74"/>
      <c r="C3" s="74"/>
      <c r="D3" s="74"/>
      <c r="E3" s="74"/>
      <c r="F3" s="74"/>
      <c r="G3" s="74"/>
      <c r="H3" s="74"/>
      <c r="I3" s="74"/>
      <c r="J3" s="74"/>
      <c r="K3" s="74"/>
    </row>
    <row r="4" spans="2:11" ht="32.1" customHeight="1" x14ac:dyDescent="0.15">
      <c r="B4" s="52" t="s">
        <v>205</v>
      </c>
      <c r="C4" s="53" t="s">
        <v>14</v>
      </c>
      <c r="D4" s="53" t="s">
        <v>68</v>
      </c>
      <c r="E4" s="53" t="s">
        <v>69</v>
      </c>
      <c r="F4" s="53" t="s">
        <v>62</v>
      </c>
      <c r="G4" s="53" t="s">
        <v>130</v>
      </c>
      <c r="H4" s="53" t="s">
        <v>63</v>
      </c>
      <c r="I4" s="53" t="s">
        <v>151</v>
      </c>
      <c r="J4" s="53" t="s">
        <v>149</v>
      </c>
      <c r="K4" s="53" t="s">
        <v>150</v>
      </c>
    </row>
    <row r="5" spans="2:11" ht="32.1" customHeight="1" x14ac:dyDescent="0.15">
      <c r="B5" s="53" t="s">
        <v>209</v>
      </c>
      <c r="C5" s="56">
        <f>SUM(C6:C17)</f>
        <v>946949</v>
      </c>
      <c r="D5" s="56">
        <f>SUM(D6:D17)</f>
        <v>588654</v>
      </c>
      <c r="E5" s="56">
        <f t="shared" ref="E5:K5" si="0">SUM(E6:E17)</f>
        <v>93098</v>
      </c>
      <c r="F5" s="56">
        <f t="shared" si="0"/>
        <v>29687</v>
      </c>
      <c r="G5" s="56">
        <f t="shared" si="0"/>
        <v>355</v>
      </c>
      <c r="H5" s="56">
        <f t="shared" si="0"/>
        <v>0</v>
      </c>
      <c r="I5" s="56">
        <f t="shared" si="0"/>
        <v>158573</v>
      </c>
      <c r="J5" s="56">
        <f t="shared" si="0"/>
        <v>5411</v>
      </c>
      <c r="K5" s="56">
        <f t="shared" si="0"/>
        <v>71171</v>
      </c>
    </row>
    <row r="6" spans="2:11" ht="32.1" customHeight="1" x14ac:dyDescent="0.15">
      <c r="B6" s="55" t="s">
        <v>0</v>
      </c>
      <c r="C6" s="21">
        <f>SUM(D6:K6)</f>
        <v>65430</v>
      </c>
      <c r="D6" s="32">
        <v>43340</v>
      </c>
      <c r="E6" s="32">
        <v>5649</v>
      </c>
      <c r="F6" s="32">
        <v>432</v>
      </c>
      <c r="G6" s="21">
        <v>94</v>
      </c>
      <c r="H6" s="21"/>
      <c r="I6" s="32">
        <v>11304</v>
      </c>
      <c r="J6" s="32">
        <v>184</v>
      </c>
      <c r="K6" s="32">
        <v>4427</v>
      </c>
    </row>
    <row r="7" spans="2:11" ht="32.1" customHeight="1" x14ac:dyDescent="0.15">
      <c r="B7" s="55" t="s">
        <v>1</v>
      </c>
      <c r="C7" s="21">
        <f>SUM(D7:K7)</f>
        <v>57926</v>
      </c>
      <c r="D7" s="32">
        <v>37740</v>
      </c>
      <c r="E7" s="32">
        <v>2095</v>
      </c>
      <c r="F7" s="32">
        <v>2501</v>
      </c>
      <c r="G7" s="21"/>
      <c r="H7" s="21"/>
      <c r="I7" s="32">
        <v>12838</v>
      </c>
      <c r="J7" s="32">
        <v>344</v>
      </c>
      <c r="K7" s="32">
        <v>2408</v>
      </c>
    </row>
    <row r="8" spans="2:11" ht="32.1" customHeight="1" x14ac:dyDescent="0.15">
      <c r="B8" s="55" t="s">
        <v>2</v>
      </c>
      <c r="C8" s="21">
        <f t="shared" ref="C8:C16" si="1">SUM(D8:K8)</f>
        <v>71235</v>
      </c>
      <c r="D8" s="32">
        <v>45922</v>
      </c>
      <c r="E8" s="32">
        <v>4527</v>
      </c>
      <c r="F8" s="32">
        <v>2032</v>
      </c>
      <c r="G8" s="21"/>
      <c r="H8" s="21"/>
      <c r="I8" s="32">
        <v>15010</v>
      </c>
      <c r="J8" s="32">
        <v>331</v>
      </c>
      <c r="K8" s="32">
        <v>3413</v>
      </c>
    </row>
    <row r="9" spans="2:11" ht="32.1" customHeight="1" x14ac:dyDescent="0.15">
      <c r="B9" s="55" t="s">
        <v>3</v>
      </c>
      <c r="C9" s="21">
        <f t="shared" si="1"/>
        <v>82832</v>
      </c>
      <c r="D9" s="32">
        <v>50474</v>
      </c>
      <c r="E9" s="32">
        <v>7906</v>
      </c>
      <c r="F9" s="32">
        <v>2706</v>
      </c>
      <c r="G9" s="21"/>
      <c r="H9" s="21"/>
      <c r="I9" s="32">
        <v>15121</v>
      </c>
      <c r="J9" s="32">
        <v>509</v>
      </c>
      <c r="K9" s="32">
        <v>6116</v>
      </c>
    </row>
    <row r="10" spans="2:11" ht="32.1" customHeight="1" x14ac:dyDescent="0.15">
      <c r="B10" s="55" t="s">
        <v>4</v>
      </c>
      <c r="C10" s="21">
        <f t="shared" si="1"/>
        <v>77238</v>
      </c>
      <c r="D10" s="32">
        <v>48238</v>
      </c>
      <c r="E10" s="32">
        <v>10346</v>
      </c>
      <c r="F10" s="32">
        <v>2313</v>
      </c>
      <c r="G10" s="21"/>
      <c r="H10" s="21"/>
      <c r="I10" s="32">
        <v>10260</v>
      </c>
      <c r="J10" s="32">
        <v>538</v>
      </c>
      <c r="K10" s="32">
        <v>5543</v>
      </c>
    </row>
    <row r="11" spans="2:11" ht="32.1" customHeight="1" x14ac:dyDescent="0.15">
      <c r="B11" s="55" t="s">
        <v>5</v>
      </c>
      <c r="C11" s="21">
        <f t="shared" si="1"/>
        <v>84371</v>
      </c>
      <c r="D11" s="32">
        <v>51863</v>
      </c>
      <c r="E11" s="32">
        <v>10531</v>
      </c>
      <c r="F11" s="32">
        <v>3211</v>
      </c>
      <c r="G11" s="21">
        <v>108</v>
      </c>
      <c r="H11" s="21"/>
      <c r="I11" s="32">
        <v>11081</v>
      </c>
      <c r="J11" s="32">
        <v>996</v>
      </c>
      <c r="K11" s="32">
        <v>6581</v>
      </c>
    </row>
    <row r="12" spans="2:11" ht="32.1" customHeight="1" x14ac:dyDescent="0.15">
      <c r="B12" s="55" t="s">
        <v>6</v>
      </c>
      <c r="C12" s="21">
        <f t="shared" si="1"/>
        <v>90932</v>
      </c>
      <c r="D12" s="32">
        <v>59090</v>
      </c>
      <c r="E12" s="32">
        <v>10078</v>
      </c>
      <c r="F12" s="32">
        <v>2529</v>
      </c>
      <c r="G12" s="21"/>
      <c r="H12" s="21"/>
      <c r="I12" s="32">
        <v>14857</v>
      </c>
      <c r="J12" s="32">
        <v>529</v>
      </c>
      <c r="K12" s="32">
        <v>3849</v>
      </c>
    </row>
    <row r="13" spans="2:11" ht="32.1" customHeight="1" x14ac:dyDescent="0.15">
      <c r="B13" s="55" t="s">
        <v>7</v>
      </c>
      <c r="C13" s="21">
        <f t="shared" si="1"/>
        <v>64898</v>
      </c>
      <c r="D13" s="32">
        <v>34483</v>
      </c>
      <c r="E13" s="32">
        <v>7778</v>
      </c>
      <c r="F13" s="32">
        <v>2456</v>
      </c>
      <c r="G13" s="21">
        <v>21</v>
      </c>
      <c r="H13" s="21"/>
      <c r="I13" s="32">
        <v>9987</v>
      </c>
      <c r="J13" s="32">
        <v>234</v>
      </c>
      <c r="K13" s="32">
        <v>9939</v>
      </c>
    </row>
    <row r="14" spans="2:11" ht="32.1" customHeight="1" x14ac:dyDescent="0.15">
      <c r="B14" s="55" t="s">
        <v>8</v>
      </c>
      <c r="C14" s="21">
        <f t="shared" si="1"/>
        <v>76588</v>
      </c>
      <c r="D14" s="32">
        <v>43592</v>
      </c>
      <c r="E14" s="32">
        <v>9150</v>
      </c>
      <c r="F14" s="32">
        <v>2357</v>
      </c>
      <c r="G14" s="21"/>
      <c r="H14" s="21"/>
      <c r="I14" s="32">
        <v>13224</v>
      </c>
      <c r="J14" s="32">
        <v>599</v>
      </c>
      <c r="K14" s="32">
        <v>7666</v>
      </c>
    </row>
    <row r="15" spans="2:11" ht="32.1" customHeight="1" x14ac:dyDescent="0.15">
      <c r="B15" s="55" t="s">
        <v>9</v>
      </c>
      <c r="C15" s="21">
        <f t="shared" si="1"/>
        <v>84123</v>
      </c>
      <c r="D15" s="32">
        <v>54098</v>
      </c>
      <c r="E15" s="32">
        <v>9998</v>
      </c>
      <c r="F15" s="32">
        <v>3402</v>
      </c>
      <c r="G15" s="21"/>
      <c r="H15" s="21"/>
      <c r="I15" s="32">
        <v>10026</v>
      </c>
      <c r="J15" s="32">
        <v>596</v>
      </c>
      <c r="K15" s="32">
        <v>6003</v>
      </c>
    </row>
    <row r="16" spans="2:11" ht="32.1" customHeight="1" x14ac:dyDescent="0.15">
      <c r="B16" s="55" t="s">
        <v>10</v>
      </c>
      <c r="C16" s="21">
        <f t="shared" si="1"/>
        <v>94471</v>
      </c>
      <c r="D16" s="32">
        <v>60755</v>
      </c>
      <c r="E16" s="32">
        <v>8354</v>
      </c>
      <c r="F16" s="32">
        <v>2849</v>
      </c>
      <c r="G16" s="21">
        <v>81</v>
      </c>
      <c r="H16" s="21"/>
      <c r="I16" s="32">
        <v>14115</v>
      </c>
      <c r="J16" s="32">
        <v>365</v>
      </c>
      <c r="K16" s="32">
        <v>7952</v>
      </c>
    </row>
    <row r="17" spans="2:11" ht="32.1" customHeight="1" x14ac:dyDescent="0.15">
      <c r="B17" s="55" t="s">
        <v>11</v>
      </c>
      <c r="C17" s="21">
        <v>96905</v>
      </c>
      <c r="D17" s="32">
        <v>59059</v>
      </c>
      <c r="E17" s="32">
        <v>6686</v>
      </c>
      <c r="F17" s="32">
        <v>2899</v>
      </c>
      <c r="G17" s="21">
        <v>51</v>
      </c>
      <c r="H17" s="33"/>
      <c r="I17" s="32">
        <v>20750</v>
      </c>
      <c r="J17" s="32">
        <v>186</v>
      </c>
      <c r="K17" s="32">
        <v>7274</v>
      </c>
    </row>
  </sheetData>
  <mergeCells count="2">
    <mergeCell ref="B2:K2"/>
    <mergeCell ref="B3:K3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8"/>
  <sheetViews>
    <sheetView workbookViewId="0"/>
  </sheetViews>
  <sheetFormatPr defaultRowHeight="13.5" x14ac:dyDescent="0.15"/>
  <cols>
    <col min="1" max="1" width="3.77734375" customWidth="1"/>
    <col min="2" max="2" width="10.109375" customWidth="1"/>
    <col min="3" max="3" width="12.109375" customWidth="1"/>
    <col min="4" max="11" width="10.109375" customWidth="1"/>
  </cols>
  <sheetData>
    <row r="1" spans="2:11" ht="32.1" customHeight="1" x14ac:dyDescent="0.15"/>
    <row r="2" spans="2:11" s="35" customFormat="1" ht="39.950000000000003" customHeight="1" x14ac:dyDescent="0.15">
      <c r="B2" s="75" t="s">
        <v>217</v>
      </c>
      <c r="C2" s="75"/>
      <c r="D2" s="75"/>
      <c r="E2" s="75"/>
      <c r="F2" s="75"/>
      <c r="G2" s="75"/>
      <c r="H2" s="75"/>
      <c r="I2" s="75"/>
      <c r="J2" s="75"/>
      <c r="K2" s="75"/>
    </row>
    <row r="3" spans="2:11" ht="32.1" customHeight="1" x14ac:dyDescent="0.15">
      <c r="B3" s="34"/>
      <c r="C3" s="34"/>
      <c r="D3" s="34"/>
      <c r="E3" s="34"/>
      <c r="F3" s="34"/>
      <c r="G3" s="34"/>
      <c r="H3" s="34"/>
      <c r="I3" s="34"/>
      <c r="J3" s="34"/>
      <c r="K3" s="34"/>
    </row>
    <row r="4" spans="2:11" s="10" customFormat="1" ht="32.1" customHeight="1" x14ac:dyDescent="0.15">
      <c r="B4" s="52" t="s">
        <v>205</v>
      </c>
      <c r="C4" s="53" t="s">
        <v>14</v>
      </c>
      <c r="D4" s="53" t="s">
        <v>68</v>
      </c>
      <c r="E4" s="53" t="s">
        <v>69</v>
      </c>
      <c r="F4" s="53" t="s">
        <v>62</v>
      </c>
      <c r="G4" s="53" t="s">
        <v>130</v>
      </c>
      <c r="H4" s="53" t="s">
        <v>63</v>
      </c>
      <c r="I4" s="53" t="s">
        <v>151</v>
      </c>
      <c r="J4" s="53" t="s">
        <v>149</v>
      </c>
      <c r="K4" s="53" t="s">
        <v>150</v>
      </c>
    </row>
    <row r="5" spans="2:11" s="10" customFormat="1" ht="32.1" customHeight="1" x14ac:dyDescent="0.15">
      <c r="B5" s="53" t="s">
        <v>209</v>
      </c>
      <c r="C5" s="54">
        <f>SUM(C6:C17)</f>
        <v>1272354</v>
      </c>
      <c r="D5" s="54">
        <f t="shared" ref="D5:K5" si="0">SUM(D6:D17)</f>
        <v>703348</v>
      </c>
      <c r="E5" s="54">
        <f t="shared" si="0"/>
        <v>87539</v>
      </c>
      <c r="F5" s="54">
        <f t="shared" si="0"/>
        <v>40690</v>
      </c>
      <c r="G5" s="54">
        <f t="shared" si="0"/>
        <v>327</v>
      </c>
      <c r="H5" s="54">
        <f t="shared" si="0"/>
        <v>405</v>
      </c>
      <c r="I5" s="54">
        <f t="shared" si="0"/>
        <v>328065</v>
      </c>
      <c r="J5" s="54">
        <f t="shared" si="0"/>
        <v>4552</v>
      </c>
      <c r="K5" s="54">
        <f t="shared" si="0"/>
        <v>107428</v>
      </c>
    </row>
    <row r="6" spans="2:11" s="10" customFormat="1" ht="32.1" customHeight="1" x14ac:dyDescent="0.15">
      <c r="B6" s="55" t="s">
        <v>0</v>
      </c>
      <c r="C6" s="21">
        <f>SUM(D6:K6)</f>
        <v>105348</v>
      </c>
      <c r="D6" s="32">
        <v>62324</v>
      </c>
      <c r="E6" s="32">
        <v>5999</v>
      </c>
      <c r="F6" s="32">
        <v>3352</v>
      </c>
      <c r="G6" s="21">
        <v>132</v>
      </c>
      <c r="H6" s="21">
        <v>1</v>
      </c>
      <c r="I6" s="32">
        <v>27486</v>
      </c>
      <c r="J6" s="32">
        <v>357</v>
      </c>
      <c r="K6" s="32">
        <v>5697</v>
      </c>
    </row>
    <row r="7" spans="2:11" s="10" customFormat="1" ht="32.1" customHeight="1" x14ac:dyDescent="0.15">
      <c r="B7" s="55" t="s">
        <v>1</v>
      </c>
      <c r="C7" s="21">
        <f>SUM(D7:K7)</f>
        <v>81782</v>
      </c>
      <c r="D7" s="32">
        <v>43168</v>
      </c>
      <c r="E7" s="32">
        <v>6643</v>
      </c>
      <c r="F7" s="32">
        <v>1491</v>
      </c>
      <c r="G7" s="21">
        <v>0</v>
      </c>
      <c r="H7" s="21">
        <v>3</v>
      </c>
      <c r="I7" s="32">
        <v>20314</v>
      </c>
      <c r="J7" s="32">
        <v>288</v>
      </c>
      <c r="K7" s="32">
        <v>9875</v>
      </c>
    </row>
    <row r="8" spans="2:11" s="10" customFormat="1" ht="32.1" customHeight="1" x14ac:dyDescent="0.15">
      <c r="B8" s="55" t="s">
        <v>2</v>
      </c>
      <c r="C8" s="21">
        <f t="shared" ref="C8:C15" si="1">SUM(D8:K8)</f>
        <v>108459</v>
      </c>
      <c r="D8" s="32">
        <v>61917</v>
      </c>
      <c r="E8" s="32">
        <v>9334</v>
      </c>
      <c r="F8" s="32">
        <v>3588</v>
      </c>
      <c r="G8" s="21">
        <v>0</v>
      </c>
      <c r="H8" s="21">
        <v>17</v>
      </c>
      <c r="I8" s="32">
        <v>25131</v>
      </c>
      <c r="J8" s="32">
        <v>105</v>
      </c>
      <c r="K8" s="32">
        <v>8367</v>
      </c>
    </row>
    <row r="9" spans="2:11" s="10" customFormat="1" ht="32.1" customHeight="1" x14ac:dyDescent="0.15">
      <c r="B9" s="55" t="s">
        <v>3</v>
      </c>
      <c r="C9" s="21">
        <f t="shared" si="1"/>
        <v>111102</v>
      </c>
      <c r="D9" s="32">
        <v>58416</v>
      </c>
      <c r="E9" s="32">
        <v>9184</v>
      </c>
      <c r="F9" s="32">
        <v>2409</v>
      </c>
      <c r="G9" s="21">
        <v>0</v>
      </c>
      <c r="H9" s="21">
        <v>30</v>
      </c>
      <c r="I9" s="32">
        <v>32124</v>
      </c>
      <c r="J9" s="32">
        <v>426</v>
      </c>
      <c r="K9" s="32">
        <v>8513</v>
      </c>
    </row>
    <row r="10" spans="2:11" s="10" customFormat="1" ht="32.1" customHeight="1" x14ac:dyDescent="0.15">
      <c r="B10" s="55" t="s">
        <v>4</v>
      </c>
      <c r="C10" s="21">
        <f t="shared" si="1"/>
        <v>95983</v>
      </c>
      <c r="D10" s="32">
        <v>52039</v>
      </c>
      <c r="E10" s="32">
        <v>6628</v>
      </c>
      <c r="F10" s="32">
        <v>3123</v>
      </c>
      <c r="G10" s="21">
        <v>0</v>
      </c>
      <c r="H10" s="21">
        <v>36</v>
      </c>
      <c r="I10" s="32">
        <v>22212</v>
      </c>
      <c r="J10" s="32">
        <v>671</v>
      </c>
      <c r="K10" s="32">
        <v>11274</v>
      </c>
    </row>
    <row r="11" spans="2:11" s="10" customFormat="1" ht="32.1" customHeight="1" x14ac:dyDescent="0.15">
      <c r="B11" s="55" t="s">
        <v>5</v>
      </c>
      <c r="C11" s="21">
        <f t="shared" si="1"/>
        <v>111832</v>
      </c>
      <c r="D11" s="32">
        <v>60664</v>
      </c>
      <c r="E11" s="32">
        <v>7621</v>
      </c>
      <c r="F11" s="32">
        <v>4610</v>
      </c>
      <c r="G11" s="21">
        <v>194</v>
      </c>
      <c r="H11" s="21">
        <v>8</v>
      </c>
      <c r="I11" s="32">
        <v>29358</v>
      </c>
      <c r="J11" s="32">
        <v>307</v>
      </c>
      <c r="K11" s="32">
        <v>9070</v>
      </c>
    </row>
    <row r="12" spans="2:11" s="10" customFormat="1" ht="32.1" customHeight="1" x14ac:dyDescent="0.15">
      <c r="B12" s="55" t="s">
        <v>6</v>
      </c>
      <c r="C12" s="21">
        <f t="shared" si="1"/>
        <v>123043</v>
      </c>
      <c r="D12" s="32">
        <v>71400</v>
      </c>
      <c r="E12" s="32">
        <v>9204</v>
      </c>
      <c r="F12" s="32">
        <v>4777</v>
      </c>
      <c r="G12" s="21">
        <v>0</v>
      </c>
      <c r="H12" s="21">
        <v>101</v>
      </c>
      <c r="I12" s="32">
        <v>30257</v>
      </c>
      <c r="J12" s="32">
        <v>434</v>
      </c>
      <c r="K12" s="32">
        <v>6870</v>
      </c>
    </row>
    <row r="13" spans="2:11" s="10" customFormat="1" ht="32.1" customHeight="1" x14ac:dyDescent="0.15">
      <c r="B13" s="55" t="s">
        <v>7</v>
      </c>
      <c r="C13" s="21">
        <f t="shared" si="1"/>
        <v>84037</v>
      </c>
      <c r="D13" s="32">
        <v>45462</v>
      </c>
      <c r="E13" s="32">
        <v>2341</v>
      </c>
      <c r="F13" s="32">
        <v>3176</v>
      </c>
      <c r="G13" s="21">
        <v>0</v>
      </c>
      <c r="H13" s="21">
        <v>28</v>
      </c>
      <c r="I13" s="32">
        <v>21940</v>
      </c>
      <c r="J13" s="32">
        <v>721</v>
      </c>
      <c r="K13" s="32">
        <v>10369</v>
      </c>
    </row>
    <row r="14" spans="2:11" s="10" customFormat="1" ht="32.1" customHeight="1" x14ac:dyDescent="0.15">
      <c r="B14" s="55" t="s">
        <v>8</v>
      </c>
      <c r="C14" s="21">
        <f t="shared" si="1"/>
        <v>97308</v>
      </c>
      <c r="D14" s="32">
        <v>50190</v>
      </c>
      <c r="E14" s="32">
        <v>3915</v>
      </c>
      <c r="F14" s="32">
        <v>3356</v>
      </c>
      <c r="G14" s="21">
        <v>1</v>
      </c>
      <c r="H14" s="21">
        <v>83</v>
      </c>
      <c r="I14" s="32">
        <v>27255</v>
      </c>
      <c r="J14" s="32">
        <v>612</v>
      </c>
      <c r="K14" s="32">
        <v>11896</v>
      </c>
    </row>
    <row r="15" spans="2:11" s="10" customFormat="1" ht="32.1" customHeight="1" x14ac:dyDescent="0.15">
      <c r="B15" s="55" t="s">
        <v>9</v>
      </c>
      <c r="C15" s="21">
        <f t="shared" si="1"/>
        <v>108607</v>
      </c>
      <c r="D15" s="32">
        <v>55268</v>
      </c>
      <c r="E15" s="32">
        <v>9494</v>
      </c>
      <c r="F15" s="32">
        <v>5147</v>
      </c>
      <c r="G15" s="21">
        <v>0</v>
      </c>
      <c r="H15" s="21">
        <v>47</v>
      </c>
      <c r="I15" s="32">
        <v>31089</v>
      </c>
      <c r="J15" s="32">
        <v>273</v>
      </c>
      <c r="K15" s="32">
        <v>7289</v>
      </c>
    </row>
    <row r="16" spans="2:11" s="10" customFormat="1" ht="32.1" customHeight="1" x14ac:dyDescent="0.15">
      <c r="B16" s="55" t="s">
        <v>10</v>
      </c>
      <c r="C16" s="21">
        <f>SUM(D16:K16)</f>
        <v>114607</v>
      </c>
      <c r="D16" s="32">
        <v>69636</v>
      </c>
      <c r="E16" s="32">
        <v>7069</v>
      </c>
      <c r="F16" s="32">
        <v>3270</v>
      </c>
      <c r="G16" s="21">
        <v>0</v>
      </c>
      <c r="H16" s="21">
        <v>16</v>
      </c>
      <c r="I16" s="32">
        <v>25849</v>
      </c>
      <c r="J16" s="32">
        <v>129</v>
      </c>
      <c r="K16" s="32">
        <v>8638</v>
      </c>
    </row>
    <row r="17" spans="2:11" s="10" customFormat="1" ht="32.1" customHeight="1" x14ac:dyDescent="0.15">
      <c r="B17" s="55" t="s">
        <v>152</v>
      </c>
      <c r="C17" s="21">
        <f>SUM(D17:K17)</f>
        <v>130246</v>
      </c>
      <c r="D17" s="32">
        <v>72864</v>
      </c>
      <c r="E17" s="32">
        <v>10107</v>
      </c>
      <c r="F17" s="32">
        <v>2391</v>
      </c>
      <c r="G17" s="21">
        <v>0</v>
      </c>
      <c r="H17" s="21">
        <v>35</v>
      </c>
      <c r="I17" s="32">
        <v>35050</v>
      </c>
      <c r="J17" s="32">
        <v>229</v>
      </c>
      <c r="K17" s="32">
        <v>9570</v>
      </c>
    </row>
    <row r="18" spans="2:11" ht="14.25" x14ac:dyDescent="0.15">
      <c r="B18" s="36"/>
      <c r="C18" s="36"/>
      <c r="D18" s="36"/>
      <c r="E18" s="36"/>
      <c r="F18" s="36"/>
      <c r="G18" s="36"/>
      <c r="H18" s="36"/>
      <c r="I18" s="36"/>
      <c r="J18" s="36"/>
      <c r="K18" s="36"/>
    </row>
  </sheetData>
  <mergeCells count="1">
    <mergeCell ref="B2:K2"/>
  </mergeCells>
  <phoneticPr fontId="3" type="noConversion"/>
  <pageMargins left="0.49" right="0.35" top="1" bottom="1" header="0.71" footer="0.5"/>
  <pageSetup paperSize="9" scale="80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17"/>
  <sheetViews>
    <sheetView zoomScaleNormal="100" workbookViewId="0"/>
  </sheetViews>
  <sheetFormatPr defaultRowHeight="13.5" x14ac:dyDescent="0.15"/>
  <cols>
    <col min="1" max="1" width="3.77734375" customWidth="1"/>
    <col min="2" max="2" width="10.109375" customWidth="1"/>
    <col min="3" max="3" width="12.109375" customWidth="1"/>
    <col min="4" max="13" width="10.109375" customWidth="1"/>
  </cols>
  <sheetData>
    <row r="1" spans="2:13" ht="32.1" customHeight="1" x14ac:dyDescent="0.15"/>
    <row r="2" spans="2:13" ht="39.950000000000003" customHeight="1" x14ac:dyDescent="0.15">
      <c r="B2" s="75" t="s">
        <v>218</v>
      </c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</row>
    <row r="3" spans="2:13" ht="32.1" customHeight="1" x14ac:dyDescent="0.15"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</row>
    <row r="4" spans="2:13" s="10" customFormat="1" ht="32.1" customHeight="1" x14ac:dyDescent="0.15">
      <c r="B4" s="52" t="s">
        <v>205</v>
      </c>
      <c r="C4" s="53" t="s">
        <v>153</v>
      </c>
      <c r="D4" s="53" t="s">
        <v>154</v>
      </c>
      <c r="E4" s="53" t="s">
        <v>155</v>
      </c>
      <c r="F4" s="53" t="s">
        <v>156</v>
      </c>
      <c r="G4" s="53" t="s">
        <v>157</v>
      </c>
      <c r="H4" s="53" t="s">
        <v>158</v>
      </c>
      <c r="I4" s="53" t="s">
        <v>159</v>
      </c>
      <c r="J4" s="53" t="s">
        <v>160</v>
      </c>
      <c r="K4" s="53" t="s">
        <v>161</v>
      </c>
      <c r="L4" s="53" t="s">
        <v>162</v>
      </c>
      <c r="M4" s="53" t="s">
        <v>163</v>
      </c>
    </row>
    <row r="5" spans="2:13" s="10" customFormat="1" ht="32.1" customHeight="1" x14ac:dyDescent="0.15">
      <c r="B5" s="53" t="s">
        <v>209</v>
      </c>
      <c r="C5" s="54">
        <f>SUM(C6:C17)</f>
        <v>1378865</v>
      </c>
      <c r="D5" s="54">
        <f t="shared" ref="D5:M5" si="0">SUM(D6:D17)</f>
        <v>712989</v>
      </c>
      <c r="E5" s="54">
        <f t="shared" si="0"/>
        <v>99358</v>
      </c>
      <c r="F5" s="54">
        <f t="shared" si="0"/>
        <v>29839</v>
      </c>
      <c r="G5" s="54">
        <f t="shared" si="0"/>
        <v>1253</v>
      </c>
      <c r="H5" s="54">
        <f t="shared" si="0"/>
        <v>630</v>
      </c>
      <c r="I5" s="54">
        <f t="shared" si="0"/>
        <v>15502</v>
      </c>
      <c r="J5" s="54">
        <f t="shared" si="0"/>
        <v>1008</v>
      </c>
      <c r="K5" s="54">
        <f t="shared" si="0"/>
        <v>380074</v>
      </c>
      <c r="L5" s="54">
        <f t="shared" si="0"/>
        <v>4311</v>
      </c>
      <c r="M5" s="54">
        <f t="shared" si="0"/>
        <v>133901</v>
      </c>
    </row>
    <row r="6" spans="2:13" s="10" customFormat="1" ht="32.1" customHeight="1" x14ac:dyDescent="0.15">
      <c r="B6" s="55" t="s">
        <v>164</v>
      </c>
      <c r="C6" s="21">
        <f>SUM(D6:M6)</f>
        <v>111839</v>
      </c>
      <c r="D6" s="32">
        <v>56648</v>
      </c>
      <c r="E6" s="32">
        <v>7493</v>
      </c>
      <c r="F6" s="32">
        <v>2721</v>
      </c>
      <c r="G6" s="32">
        <v>105</v>
      </c>
      <c r="H6" s="21">
        <v>0</v>
      </c>
      <c r="I6" s="21">
        <v>1738</v>
      </c>
      <c r="J6" s="21">
        <v>63</v>
      </c>
      <c r="K6" s="32">
        <v>32076</v>
      </c>
      <c r="L6" s="32">
        <v>71</v>
      </c>
      <c r="M6" s="32">
        <v>10924</v>
      </c>
    </row>
    <row r="7" spans="2:13" s="10" customFormat="1" ht="32.1" customHeight="1" x14ac:dyDescent="0.15">
      <c r="B7" s="55" t="s">
        <v>165</v>
      </c>
      <c r="C7" s="21">
        <f>SUM(D7:M7)</f>
        <v>132553</v>
      </c>
      <c r="D7" s="32">
        <v>74658</v>
      </c>
      <c r="E7" s="32">
        <v>9747</v>
      </c>
      <c r="F7" s="32">
        <v>2135</v>
      </c>
      <c r="G7" s="32">
        <v>7</v>
      </c>
      <c r="H7" s="21">
        <v>35</v>
      </c>
      <c r="I7" s="21">
        <v>594</v>
      </c>
      <c r="J7" s="21">
        <v>62</v>
      </c>
      <c r="K7" s="32">
        <v>37496</v>
      </c>
      <c r="L7" s="32">
        <v>235</v>
      </c>
      <c r="M7" s="32">
        <v>7584</v>
      </c>
    </row>
    <row r="8" spans="2:13" s="10" customFormat="1" ht="32.1" customHeight="1" x14ac:dyDescent="0.15">
      <c r="B8" s="55" t="s">
        <v>166</v>
      </c>
      <c r="C8" s="21">
        <f t="shared" ref="C8:C15" si="1">SUM(D8:M8)</f>
        <v>130829</v>
      </c>
      <c r="D8" s="32">
        <v>70746</v>
      </c>
      <c r="E8" s="32">
        <f>4914+2295+106</f>
        <v>7315</v>
      </c>
      <c r="F8" s="32">
        <v>1661</v>
      </c>
      <c r="G8" s="32">
        <v>146</v>
      </c>
      <c r="H8" s="21">
        <v>113</v>
      </c>
      <c r="I8" s="21">
        <f>969+51</f>
        <v>1020</v>
      </c>
      <c r="J8" s="21">
        <v>155</v>
      </c>
      <c r="K8" s="32">
        <v>34053</v>
      </c>
      <c r="L8" s="32">
        <v>247</v>
      </c>
      <c r="M8" s="32">
        <v>15373</v>
      </c>
    </row>
    <row r="9" spans="2:13" s="10" customFormat="1" ht="32.1" customHeight="1" x14ac:dyDescent="0.15">
      <c r="B9" s="55" t="s">
        <v>167</v>
      </c>
      <c r="C9" s="21">
        <f t="shared" si="1"/>
        <v>116161</v>
      </c>
      <c r="D9" s="32">
        <v>61859</v>
      </c>
      <c r="E9" s="32">
        <f>4660+107+5818</f>
        <v>10585</v>
      </c>
      <c r="F9" s="32">
        <f>2804</f>
        <v>2804</v>
      </c>
      <c r="G9" s="32">
        <f>121</f>
        <v>121</v>
      </c>
      <c r="H9" s="21">
        <f>96</f>
        <v>96</v>
      </c>
      <c r="I9" s="21">
        <f>86+49+911</f>
        <v>1046</v>
      </c>
      <c r="J9" s="21">
        <v>76</v>
      </c>
      <c r="K9" s="32">
        <v>27974</v>
      </c>
      <c r="L9" s="32">
        <f>103+49</f>
        <v>152</v>
      </c>
      <c r="M9" s="32">
        <v>11448</v>
      </c>
    </row>
    <row r="10" spans="2:13" s="10" customFormat="1" ht="32.1" customHeight="1" x14ac:dyDescent="0.15">
      <c r="B10" s="55" t="s">
        <v>168</v>
      </c>
      <c r="C10" s="21">
        <f t="shared" si="1"/>
        <v>122181</v>
      </c>
      <c r="D10" s="32">
        <v>64155</v>
      </c>
      <c r="E10" s="32">
        <f>3764+4696</f>
        <v>8460</v>
      </c>
      <c r="F10" s="32">
        <v>2249</v>
      </c>
      <c r="G10" s="32">
        <f>217</f>
        <v>217</v>
      </c>
      <c r="H10" s="21"/>
      <c r="I10" s="21">
        <v>1262</v>
      </c>
      <c r="J10" s="21">
        <f>42</f>
        <v>42</v>
      </c>
      <c r="K10" s="32">
        <v>32479</v>
      </c>
      <c r="L10" s="32">
        <f>247+228+10</f>
        <v>485</v>
      </c>
      <c r="M10" s="32">
        <v>12832</v>
      </c>
    </row>
    <row r="11" spans="2:13" s="10" customFormat="1" ht="32.1" customHeight="1" x14ac:dyDescent="0.15">
      <c r="B11" s="55" t="s">
        <v>169</v>
      </c>
      <c r="C11" s="21">
        <f>SUM(D11:M11)</f>
        <v>117848</v>
      </c>
      <c r="D11" s="32">
        <f>66269</f>
        <v>66269</v>
      </c>
      <c r="E11" s="32">
        <f>3064+63+5385</f>
        <v>8512</v>
      </c>
      <c r="F11" s="32">
        <f>2453</f>
        <v>2453</v>
      </c>
      <c r="G11" s="32">
        <f>104</f>
        <v>104</v>
      </c>
      <c r="H11" s="21">
        <v>145</v>
      </c>
      <c r="I11" s="21">
        <f>2110+34+28</f>
        <v>2172</v>
      </c>
      <c r="J11" s="21">
        <v>45</v>
      </c>
      <c r="K11" s="32">
        <v>29402</v>
      </c>
      <c r="L11" s="32">
        <v>567</v>
      </c>
      <c r="M11" s="32">
        <v>8179</v>
      </c>
    </row>
    <row r="12" spans="2:13" s="10" customFormat="1" ht="32.1" customHeight="1" x14ac:dyDescent="0.15">
      <c r="B12" s="55" t="s">
        <v>170</v>
      </c>
      <c r="C12" s="21">
        <f t="shared" si="1"/>
        <v>112537</v>
      </c>
      <c r="D12" s="32">
        <v>61189</v>
      </c>
      <c r="E12" s="32">
        <f>3439+50+6278</f>
        <v>9767</v>
      </c>
      <c r="F12" s="32">
        <v>2436</v>
      </c>
      <c r="G12" s="32">
        <v>79</v>
      </c>
      <c r="H12" s="21">
        <v>4</v>
      </c>
      <c r="I12" s="21">
        <f>1252+1</f>
        <v>1253</v>
      </c>
      <c r="J12" s="21">
        <v>24</v>
      </c>
      <c r="K12" s="32">
        <v>31475</v>
      </c>
      <c r="L12" s="32">
        <f>43+48+3</f>
        <v>94</v>
      </c>
      <c r="M12" s="32">
        <v>6216</v>
      </c>
    </row>
    <row r="13" spans="2:13" s="10" customFormat="1" ht="32.1" customHeight="1" x14ac:dyDescent="0.15">
      <c r="B13" s="55" t="s">
        <v>171</v>
      </c>
      <c r="C13" s="21">
        <f>SUM(D13:M13)</f>
        <v>68821</v>
      </c>
      <c r="D13" s="32">
        <v>29346</v>
      </c>
      <c r="E13" s="32">
        <f>1764+29+1534</f>
        <v>3327</v>
      </c>
      <c r="F13" s="32">
        <v>1715</v>
      </c>
      <c r="G13" s="32">
        <v>141</v>
      </c>
      <c r="H13" s="21">
        <v>58</v>
      </c>
      <c r="I13" s="21">
        <f>3+1051</f>
        <v>1054</v>
      </c>
      <c r="J13" s="21">
        <v>36</v>
      </c>
      <c r="K13" s="32">
        <v>19802</v>
      </c>
      <c r="L13" s="32">
        <f>63+86+22</f>
        <v>171</v>
      </c>
      <c r="M13" s="32">
        <v>13171</v>
      </c>
    </row>
    <row r="14" spans="2:13" s="10" customFormat="1" ht="32.1" customHeight="1" x14ac:dyDescent="0.15">
      <c r="B14" s="55" t="s">
        <v>172</v>
      </c>
      <c r="C14" s="21">
        <f t="shared" si="1"/>
        <v>105796</v>
      </c>
      <c r="D14" s="32">
        <v>51689</v>
      </c>
      <c r="E14" s="32">
        <f>25+2698+5242</f>
        <v>7965</v>
      </c>
      <c r="F14" s="32">
        <v>2175</v>
      </c>
      <c r="G14" s="32">
        <v>78</v>
      </c>
      <c r="H14" s="21">
        <f>45</f>
        <v>45</v>
      </c>
      <c r="I14" s="21">
        <f>103+1051+3</f>
        <v>1157</v>
      </c>
      <c r="J14" s="21">
        <v>95</v>
      </c>
      <c r="K14" s="32">
        <v>30037</v>
      </c>
      <c r="L14" s="32">
        <f>431+190+26</f>
        <v>647</v>
      </c>
      <c r="M14" s="32">
        <v>11908</v>
      </c>
    </row>
    <row r="15" spans="2:13" s="10" customFormat="1" ht="32.1" customHeight="1" x14ac:dyDescent="0.15">
      <c r="B15" s="55" t="s">
        <v>173</v>
      </c>
      <c r="C15" s="21">
        <f t="shared" si="1"/>
        <v>107662</v>
      </c>
      <c r="D15" s="32">
        <v>52730</v>
      </c>
      <c r="E15" s="32">
        <f>2639+35+3094</f>
        <v>5768</v>
      </c>
      <c r="F15" s="32">
        <v>2287</v>
      </c>
      <c r="G15" s="32">
        <v>51</v>
      </c>
      <c r="H15" s="21">
        <v>25</v>
      </c>
      <c r="I15" s="21">
        <f>6+1+681</f>
        <v>688</v>
      </c>
      <c r="J15" s="21">
        <v>34</v>
      </c>
      <c r="K15" s="32">
        <v>34108</v>
      </c>
      <c r="L15" s="32">
        <f>377+380+22</f>
        <v>779</v>
      </c>
      <c r="M15" s="32">
        <v>11192</v>
      </c>
    </row>
    <row r="16" spans="2:13" s="10" customFormat="1" ht="32.1" customHeight="1" x14ac:dyDescent="0.15">
      <c r="B16" s="55" t="s">
        <v>174</v>
      </c>
      <c r="C16" s="21">
        <f>SUM(D16:M16)</f>
        <v>131372</v>
      </c>
      <c r="D16" s="32">
        <v>65092</v>
      </c>
      <c r="E16" s="32">
        <f>4969+1+5860</f>
        <v>10830</v>
      </c>
      <c r="F16" s="32">
        <v>3094</v>
      </c>
      <c r="G16" s="32">
        <v>80</v>
      </c>
      <c r="H16" s="21">
        <v>50</v>
      </c>
      <c r="I16" s="21">
        <f>20+9+1892</f>
        <v>1921</v>
      </c>
      <c r="J16" s="21">
        <v>205</v>
      </c>
      <c r="K16" s="32">
        <v>35609</v>
      </c>
      <c r="L16" s="32">
        <f>266+130+9</f>
        <v>405</v>
      </c>
      <c r="M16" s="32">
        <v>14086</v>
      </c>
    </row>
    <row r="17" spans="2:13" s="10" customFormat="1" ht="32.1" customHeight="1" x14ac:dyDescent="0.15">
      <c r="B17" s="55" t="s">
        <v>175</v>
      </c>
      <c r="C17" s="21">
        <f>SUM(D17:M17)</f>
        <v>121266</v>
      </c>
      <c r="D17" s="32">
        <v>58608</v>
      </c>
      <c r="E17" s="32">
        <f>3800+87+5702</f>
        <v>9589</v>
      </c>
      <c r="F17" s="32">
        <v>4109</v>
      </c>
      <c r="G17" s="32">
        <v>124</v>
      </c>
      <c r="H17" s="21">
        <v>59</v>
      </c>
      <c r="I17" s="21">
        <f>437+1147+13</f>
        <v>1597</v>
      </c>
      <c r="J17" s="21">
        <v>171</v>
      </c>
      <c r="K17" s="32">
        <v>35563</v>
      </c>
      <c r="L17" s="32">
        <f>334+119+5</f>
        <v>458</v>
      </c>
      <c r="M17" s="32">
        <v>10988</v>
      </c>
    </row>
  </sheetData>
  <mergeCells count="2">
    <mergeCell ref="B2:M2"/>
    <mergeCell ref="B3:M3"/>
  </mergeCells>
  <phoneticPr fontId="3" type="noConversion"/>
  <pageMargins left="0.51181102362204722" right="0.51181102362204722" top="0.74803149606299213" bottom="0.74803149606299213" header="0.31496062992125984" footer="0.31496062992125984"/>
  <pageSetup paperSize="9" scale="70" fitToWidth="2" fitToHeight="2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17"/>
  <sheetViews>
    <sheetView zoomScaleNormal="100" workbookViewId="0"/>
  </sheetViews>
  <sheetFormatPr defaultRowHeight="13.5" x14ac:dyDescent="0.15"/>
  <cols>
    <col min="1" max="1" width="3.77734375" customWidth="1"/>
    <col min="2" max="2" width="10.109375" customWidth="1"/>
    <col min="3" max="3" width="12.109375" customWidth="1"/>
    <col min="4" max="13" width="10.109375" customWidth="1"/>
  </cols>
  <sheetData>
    <row r="1" spans="2:13" ht="32.1" customHeight="1" x14ac:dyDescent="0.15"/>
    <row r="2" spans="2:13" ht="39.950000000000003" customHeight="1" x14ac:dyDescent="0.15">
      <c r="B2" s="75" t="s">
        <v>219</v>
      </c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</row>
    <row r="3" spans="2:13" ht="32.1" customHeight="1" x14ac:dyDescent="0.15"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</row>
    <row r="4" spans="2:13" s="10" customFormat="1" ht="32.1" customHeight="1" x14ac:dyDescent="0.15">
      <c r="B4" s="52" t="s">
        <v>205</v>
      </c>
      <c r="C4" s="53" t="s">
        <v>14</v>
      </c>
      <c r="D4" s="53" t="s">
        <v>68</v>
      </c>
      <c r="E4" s="53" t="s">
        <v>69</v>
      </c>
      <c r="F4" s="53" t="s">
        <v>62</v>
      </c>
      <c r="G4" s="53" t="s">
        <v>157</v>
      </c>
      <c r="H4" s="53" t="s">
        <v>130</v>
      </c>
      <c r="I4" s="53" t="s">
        <v>63</v>
      </c>
      <c r="J4" s="53" t="s">
        <v>160</v>
      </c>
      <c r="K4" s="53" t="s">
        <v>151</v>
      </c>
      <c r="L4" s="53" t="s">
        <v>149</v>
      </c>
      <c r="M4" s="53" t="s">
        <v>150</v>
      </c>
    </row>
    <row r="5" spans="2:13" s="10" customFormat="1" ht="32.1" customHeight="1" x14ac:dyDescent="0.15">
      <c r="B5" s="53" t="s">
        <v>210</v>
      </c>
      <c r="C5" s="54">
        <f>SUM(C6:C17)</f>
        <v>1446177</v>
      </c>
      <c r="D5" s="54">
        <f t="shared" ref="D5:M5" si="0">SUM(D6:D17)</f>
        <v>711080</v>
      </c>
      <c r="E5" s="54">
        <f t="shared" si="0"/>
        <v>88835</v>
      </c>
      <c r="F5" s="54">
        <f t="shared" si="0"/>
        <v>34350</v>
      </c>
      <c r="G5" s="54">
        <f t="shared" si="0"/>
        <v>862</v>
      </c>
      <c r="H5" s="54">
        <f t="shared" si="0"/>
        <v>282</v>
      </c>
      <c r="I5" s="54">
        <f t="shared" si="0"/>
        <v>21560</v>
      </c>
      <c r="J5" s="54">
        <f t="shared" si="0"/>
        <v>1146</v>
      </c>
      <c r="K5" s="54">
        <f t="shared" si="0"/>
        <v>417863</v>
      </c>
      <c r="L5" s="54">
        <f t="shared" si="0"/>
        <v>8067</v>
      </c>
      <c r="M5" s="54">
        <f t="shared" si="0"/>
        <v>162132</v>
      </c>
    </row>
    <row r="6" spans="2:13" s="10" customFormat="1" ht="32.1" customHeight="1" x14ac:dyDescent="0.15">
      <c r="B6" s="55" t="s">
        <v>0</v>
      </c>
      <c r="C6" s="21">
        <f>SUM(D6:M6)</f>
        <v>126084</v>
      </c>
      <c r="D6" s="32">
        <f>65583</f>
        <v>65583</v>
      </c>
      <c r="E6" s="32">
        <f>4242+37+4160</f>
        <v>8439</v>
      </c>
      <c r="F6" s="32">
        <v>2848</v>
      </c>
      <c r="G6" s="32">
        <v>17</v>
      </c>
      <c r="H6" s="21">
        <v>108</v>
      </c>
      <c r="I6" s="21">
        <f>134+1112</f>
        <v>1246</v>
      </c>
      <c r="J6" s="21">
        <v>30</v>
      </c>
      <c r="K6" s="32">
        <v>32591</v>
      </c>
      <c r="L6" s="32">
        <f>217+93+14</f>
        <v>324</v>
      </c>
      <c r="M6" s="32">
        <v>14898</v>
      </c>
    </row>
    <row r="7" spans="2:13" s="10" customFormat="1" ht="32.1" customHeight="1" x14ac:dyDescent="0.15">
      <c r="B7" s="55" t="s">
        <v>1</v>
      </c>
      <c r="C7" s="21">
        <f>SUM(D7:M7)</f>
        <v>112317</v>
      </c>
      <c r="D7" s="32">
        <v>51592</v>
      </c>
      <c r="E7" s="32">
        <f>4470+53+5977</f>
        <v>10500</v>
      </c>
      <c r="F7" s="32">
        <v>1509</v>
      </c>
      <c r="G7" s="32">
        <v>84</v>
      </c>
      <c r="H7" s="21">
        <v>27</v>
      </c>
      <c r="I7" s="21">
        <f>12+2984</f>
        <v>2996</v>
      </c>
      <c r="J7" s="21">
        <f>102</f>
        <v>102</v>
      </c>
      <c r="K7" s="32">
        <v>32794</v>
      </c>
      <c r="L7" s="32">
        <f>179+67+9</f>
        <v>255</v>
      </c>
      <c r="M7" s="32">
        <v>12458</v>
      </c>
    </row>
    <row r="8" spans="2:13" s="10" customFormat="1" ht="32.1" customHeight="1" x14ac:dyDescent="0.15">
      <c r="B8" s="55" t="s">
        <v>2</v>
      </c>
      <c r="C8" s="21">
        <f t="shared" ref="C8:C15" si="1">SUM(D8:M8)</f>
        <v>124507</v>
      </c>
      <c r="D8" s="32">
        <v>66493</v>
      </c>
      <c r="E8" s="32">
        <f>1774+89+4669</f>
        <v>6532</v>
      </c>
      <c r="F8" s="32">
        <v>2722</v>
      </c>
      <c r="G8" s="32">
        <v>133</v>
      </c>
      <c r="H8" s="21">
        <v>3</v>
      </c>
      <c r="I8" s="21">
        <f>77+3+479</f>
        <v>559</v>
      </c>
      <c r="J8" s="21">
        <v>95</v>
      </c>
      <c r="K8" s="32">
        <v>34856</v>
      </c>
      <c r="L8" s="32">
        <f>958+358+61</f>
        <v>1377</v>
      </c>
      <c r="M8" s="32">
        <v>11737</v>
      </c>
    </row>
    <row r="9" spans="2:13" s="10" customFormat="1" ht="32.1" customHeight="1" x14ac:dyDescent="0.15">
      <c r="B9" s="55" t="s">
        <v>3</v>
      </c>
      <c r="C9" s="21">
        <f t="shared" si="1"/>
        <v>119927</v>
      </c>
      <c r="D9" s="32">
        <v>59519</v>
      </c>
      <c r="E9" s="32">
        <f>551+23+6012</f>
        <v>6586</v>
      </c>
      <c r="F9" s="32">
        <v>2185</v>
      </c>
      <c r="G9" s="32">
        <v>28</v>
      </c>
      <c r="H9" s="21">
        <v>50</v>
      </c>
      <c r="I9" s="21">
        <f>104+14+912</f>
        <v>1030</v>
      </c>
      <c r="J9" s="21">
        <v>16</v>
      </c>
      <c r="K9" s="32">
        <v>32714</v>
      </c>
      <c r="L9" s="32">
        <f>506+191+10</f>
        <v>707</v>
      </c>
      <c r="M9" s="32">
        <v>17092</v>
      </c>
    </row>
    <row r="10" spans="2:13" s="10" customFormat="1" ht="32.1" customHeight="1" x14ac:dyDescent="0.15">
      <c r="B10" s="55" t="s">
        <v>4</v>
      </c>
      <c r="C10" s="21">
        <f t="shared" si="1"/>
        <v>127586</v>
      </c>
      <c r="D10" s="32">
        <v>65181</v>
      </c>
      <c r="E10" s="32">
        <f>82+17+6298</f>
        <v>6397</v>
      </c>
      <c r="F10" s="32">
        <v>2953</v>
      </c>
      <c r="G10" s="32">
        <v>125</v>
      </c>
      <c r="H10" s="21">
        <v>4</v>
      </c>
      <c r="I10" s="21">
        <f>600+28+2993</f>
        <v>3621</v>
      </c>
      <c r="J10" s="21">
        <v>342</v>
      </c>
      <c r="K10" s="32">
        <v>37898</v>
      </c>
      <c r="L10" s="32">
        <f>382+79+14</f>
        <v>475</v>
      </c>
      <c r="M10" s="32">
        <v>10590</v>
      </c>
    </row>
    <row r="11" spans="2:13" s="10" customFormat="1" ht="32.1" customHeight="1" x14ac:dyDescent="0.15">
      <c r="B11" s="55" t="s">
        <v>5</v>
      </c>
      <c r="C11" s="21">
        <f>SUM(D11:M11)</f>
        <v>130346</v>
      </c>
      <c r="D11" s="32">
        <v>65516</v>
      </c>
      <c r="E11" s="32">
        <f>2044+33+6073</f>
        <v>8150</v>
      </c>
      <c r="F11" s="32">
        <v>2627</v>
      </c>
      <c r="G11" s="32">
        <v>61</v>
      </c>
      <c r="H11" s="21">
        <v>10</v>
      </c>
      <c r="I11" s="21">
        <f>8+20+483</f>
        <v>511</v>
      </c>
      <c r="J11" s="21">
        <v>186</v>
      </c>
      <c r="K11" s="32">
        <v>38280</v>
      </c>
      <c r="L11" s="32">
        <f>469+174+15</f>
        <v>658</v>
      </c>
      <c r="M11" s="32">
        <v>14347</v>
      </c>
    </row>
    <row r="12" spans="2:13" s="10" customFormat="1" ht="32.1" customHeight="1" x14ac:dyDescent="0.15">
      <c r="B12" s="55" t="s">
        <v>6</v>
      </c>
      <c r="C12" s="21">
        <f t="shared" si="1"/>
        <v>123003</v>
      </c>
      <c r="D12" s="32">
        <v>60531</v>
      </c>
      <c r="E12" s="32">
        <f>2937+47+3613</f>
        <v>6597</v>
      </c>
      <c r="F12" s="32">
        <v>2863</v>
      </c>
      <c r="G12" s="32">
        <v>225</v>
      </c>
      <c r="H12" s="21">
        <v>3</v>
      </c>
      <c r="I12" s="21">
        <f>6+30+2016</f>
        <v>2052</v>
      </c>
      <c r="J12" s="21">
        <v>116</v>
      </c>
      <c r="K12" s="32">
        <v>39222</v>
      </c>
      <c r="L12" s="32">
        <f>325+64+12</f>
        <v>401</v>
      </c>
      <c r="M12" s="32">
        <v>10993</v>
      </c>
    </row>
    <row r="13" spans="2:13" s="10" customFormat="1" ht="32.1" customHeight="1" x14ac:dyDescent="0.15">
      <c r="B13" s="55" t="s">
        <v>7</v>
      </c>
      <c r="C13" s="21">
        <f>SUM(D13:M13)</f>
        <v>102796</v>
      </c>
      <c r="D13" s="32">
        <v>45157</v>
      </c>
      <c r="E13" s="32">
        <f>1594+20+3792</f>
        <v>5406</v>
      </c>
      <c r="F13" s="32">
        <v>2807</v>
      </c>
      <c r="G13" s="32">
        <v>91</v>
      </c>
      <c r="H13" s="21">
        <v>44</v>
      </c>
      <c r="I13" s="21">
        <f>100+21+2427</f>
        <v>2548</v>
      </c>
      <c r="J13" s="21">
        <v>67</v>
      </c>
      <c r="K13" s="32">
        <v>35835</v>
      </c>
      <c r="L13" s="32">
        <f>432+60+17</f>
        <v>509</v>
      </c>
      <c r="M13" s="32">
        <v>10332</v>
      </c>
    </row>
    <row r="14" spans="2:13" s="10" customFormat="1" ht="32.1" customHeight="1" x14ac:dyDescent="0.15">
      <c r="B14" s="55" t="s">
        <v>8</v>
      </c>
      <c r="C14" s="21">
        <f t="shared" si="1"/>
        <v>97836</v>
      </c>
      <c r="D14" s="32">
        <v>39862</v>
      </c>
      <c r="E14" s="32">
        <f>819+4+4413</f>
        <v>5236</v>
      </c>
      <c r="F14" s="32">
        <v>2609</v>
      </c>
      <c r="G14" s="32">
        <v>18</v>
      </c>
      <c r="H14" s="21">
        <v>25</v>
      </c>
      <c r="I14" s="21">
        <f>363+83+1537</f>
        <v>1983</v>
      </c>
      <c r="J14" s="21">
        <v>35</v>
      </c>
      <c r="K14" s="32">
        <v>32124</v>
      </c>
      <c r="L14" s="32">
        <f>567+152+50</f>
        <v>769</v>
      </c>
      <c r="M14" s="32">
        <v>15175</v>
      </c>
    </row>
    <row r="15" spans="2:13" s="10" customFormat="1" ht="32.1" customHeight="1" x14ac:dyDescent="0.15">
      <c r="B15" s="55" t="s">
        <v>9</v>
      </c>
      <c r="C15" s="21">
        <f t="shared" si="1"/>
        <v>108727</v>
      </c>
      <c r="D15" s="32">
        <v>51840</v>
      </c>
      <c r="E15" s="32">
        <f>3124+16+5284</f>
        <v>8424</v>
      </c>
      <c r="F15" s="32">
        <v>3161</v>
      </c>
      <c r="G15" s="32">
        <v>23</v>
      </c>
      <c r="H15" s="21">
        <v>8</v>
      </c>
      <c r="I15" s="21">
        <f>147+28+457</f>
        <v>632</v>
      </c>
      <c r="J15" s="21">
        <v>62</v>
      </c>
      <c r="K15" s="32">
        <v>29854</v>
      </c>
      <c r="L15" s="32">
        <f>1067+289+13</f>
        <v>1369</v>
      </c>
      <c r="M15" s="32">
        <v>13354</v>
      </c>
    </row>
    <row r="16" spans="2:13" s="10" customFormat="1" ht="32.1" customHeight="1" x14ac:dyDescent="0.15">
      <c r="B16" s="55" t="s">
        <v>10</v>
      </c>
      <c r="C16" s="21">
        <f>SUM(D16:M16)</f>
        <v>133233</v>
      </c>
      <c r="D16" s="32">
        <v>67891</v>
      </c>
      <c r="E16" s="32">
        <f>1824+4+4851</f>
        <v>6679</v>
      </c>
      <c r="F16" s="32">
        <v>3581</v>
      </c>
      <c r="G16" s="32">
        <v>33</v>
      </c>
      <c r="H16" s="21"/>
      <c r="I16" s="21">
        <f>210+45+1253</f>
        <v>1508</v>
      </c>
      <c r="J16" s="21">
        <v>35</v>
      </c>
      <c r="K16" s="32">
        <v>39711</v>
      </c>
      <c r="L16" s="32">
        <f>280+151+13</f>
        <v>444</v>
      </c>
      <c r="M16" s="32">
        <v>13351</v>
      </c>
    </row>
    <row r="17" spans="2:13" s="10" customFormat="1" ht="32.1" customHeight="1" x14ac:dyDescent="0.15">
      <c r="B17" s="55" t="s">
        <v>11</v>
      </c>
      <c r="C17" s="21">
        <f>SUM(D17:M17)</f>
        <v>139815</v>
      </c>
      <c r="D17" s="32">
        <v>71915</v>
      </c>
      <c r="E17" s="32">
        <f>2775+110+7004</f>
        <v>9889</v>
      </c>
      <c r="F17" s="32">
        <v>4485</v>
      </c>
      <c r="G17" s="32">
        <v>24</v>
      </c>
      <c r="H17" s="21"/>
      <c r="I17" s="21">
        <f>214+67+2593</f>
        <v>2874</v>
      </c>
      <c r="J17" s="21">
        <v>60</v>
      </c>
      <c r="K17" s="32">
        <v>31984</v>
      </c>
      <c r="L17" s="32">
        <f>640+134+5</f>
        <v>779</v>
      </c>
      <c r="M17" s="32">
        <v>17805</v>
      </c>
    </row>
  </sheetData>
  <mergeCells count="2">
    <mergeCell ref="B2:M2"/>
    <mergeCell ref="B3:M3"/>
  </mergeCells>
  <phoneticPr fontId="3" type="noConversion"/>
  <pageMargins left="0.51181102362204722" right="0.51181102362204722" top="0.92" bottom="0.74803149606299213" header="0.31496062992125984" footer="0.31496062992125984"/>
  <pageSetup paperSize="9" fitToWidth="2" fitToHeight="2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7"/>
  <sheetViews>
    <sheetView workbookViewId="0"/>
  </sheetViews>
  <sheetFormatPr defaultRowHeight="13.5" x14ac:dyDescent="0.15"/>
  <cols>
    <col min="1" max="1" width="3.77734375" customWidth="1"/>
    <col min="2" max="2" width="10.109375" customWidth="1"/>
    <col min="3" max="3" width="12.109375" customWidth="1"/>
    <col min="4" max="15" width="10.109375" customWidth="1"/>
  </cols>
  <sheetData>
    <row r="1" spans="2:15" ht="32.1" customHeight="1" x14ac:dyDescent="0.15"/>
    <row r="2" spans="2:15" ht="39.950000000000003" customHeight="1" x14ac:dyDescent="0.15">
      <c r="B2" s="75" t="s">
        <v>220</v>
      </c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</row>
    <row r="3" spans="2:15" ht="32.1" customHeight="1" x14ac:dyDescent="0.15"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</row>
    <row r="4" spans="2:15" s="10" customFormat="1" ht="32.1" customHeight="1" x14ac:dyDescent="0.15">
      <c r="B4" s="52" t="s">
        <v>205</v>
      </c>
      <c r="C4" s="53" t="s">
        <v>14</v>
      </c>
      <c r="D4" s="53" t="s">
        <v>68</v>
      </c>
      <c r="E4" s="53" t="s">
        <v>69</v>
      </c>
      <c r="F4" s="53" t="s">
        <v>62</v>
      </c>
      <c r="G4" s="53" t="s">
        <v>157</v>
      </c>
      <c r="H4" s="53" t="s">
        <v>130</v>
      </c>
      <c r="I4" s="53" t="s">
        <v>177</v>
      </c>
      <c r="J4" s="53" t="s">
        <v>176</v>
      </c>
      <c r="K4" s="53" t="s">
        <v>63</v>
      </c>
      <c r="L4" s="53" t="s">
        <v>160</v>
      </c>
      <c r="M4" s="53" t="s">
        <v>151</v>
      </c>
      <c r="N4" s="53" t="s">
        <v>149</v>
      </c>
      <c r="O4" s="53" t="s">
        <v>150</v>
      </c>
    </row>
    <row r="5" spans="2:15" s="10" customFormat="1" ht="32.1" customHeight="1" x14ac:dyDescent="0.15">
      <c r="B5" s="53" t="s">
        <v>211</v>
      </c>
      <c r="C5" s="54">
        <f>SUM(C6:C17)</f>
        <v>1505780</v>
      </c>
      <c r="D5" s="54">
        <f t="shared" ref="D5:O5" si="0">SUM(D6:D17)</f>
        <v>770583</v>
      </c>
      <c r="E5" s="54">
        <f t="shared" si="0"/>
        <v>78176</v>
      </c>
      <c r="F5" s="54">
        <f t="shared" si="0"/>
        <v>46635</v>
      </c>
      <c r="G5" s="54">
        <f t="shared" si="0"/>
        <v>425</v>
      </c>
      <c r="H5" s="54">
        <f t="shared" si="0"/>
        <v>256</v>
      </c>
      <c r="I5" s="54">
        <f t="shared" si="0"/>
        <v>1414</v>
      </c>
      <c r="J5" s="54">
        <f t="shared" si="0"/>
        <v>531</v>
      </c>
      <c r="K5" s="54">
        <f t="shared" si="0"/>
        <v>20833</v>
      </c>
      <c r="L5" s="54">
        <f t="shared" si="0"/>
        <v>1692</v>
      </c>
      <c r="M5" s="54">
        <f t="shared" si="0"/>
        <v>382038</v>
      </c>
      <c r="N5" s="54">
        <f t="shared" si="0"/>
        <v>2348</v>
      </c>
      <c r="O5" s="54">
        <f t="shared" si="0"/>
        <v>200849</v>
      </c>
    </row>
    <row r="6" spans="2:15" s="10" customFormat="1" ht="32.1" customHeight="1" x14ac:dyDescent="0.15">
      <c r="B6" s="55" t="s">
        <v>0</v>
      </c>
      <c r="C6" s="21">
        <f>SUM(D6:O6)</f>
        <v>118616</v>
      </c>
      <c r="D6" s="32">
        <v>60993</v>
      </c>
      <c r="E6" s="32">
        <f>2801+69+4766</f>
        <v>7636</v>
      </c>
      <c r="F6" s="32">
        <v>5691</v>
      </c>
      <c r="G6" s="32">
        <v>38</v>
      </c>
      <c r="H6" s="21">
        <v>38</v>
      </c>
      <c r="I6" s="21">
        <v>144</v>
      </c>
      <c r="J6" s="21">
        <v>42</v>
      </c>
      <c r="K6" s="21">
        <f>162+1942</f>
        <v>2104</v>
      </c>
      <c r="L6" s="21">
        <v>102</v>
      </c>
      <c r="M6" s="32">
        <v>31488</v>
      </c>
      <c r="N6" s="32">
        <f>349</f>
        <v>349</v>
      </c>
      <c r="O6" s="32">
        <v>9991</v>
      </c>
    </row>
    <row r="7" spans="2:15" s="10" customFormat="1" ht="32.1" customHeight="1" x14ac:dyDescent="0.15">
      <c r="B7" s="55" t="s">
        <v>1</v>
      </c>
      <c r="C7" s="21">
        <f>SUM(D7:O7)</f>
        <v>119442</v>
      </c>
      <c r="D7" s="32">
        <v>61933</v>
      </c>
      <c r="E7" s="32">
        <f>1118+72+4860</f>
        <v>6050</v>
      </c>
      <c r="F7" s="32">
        <v>2995</v>
      </c>
      <c r="G7" s="32">
        <v>56</v>
      </c>
      <c r="H7" s="21">
        <v>46</v>
      </c>
      <c r="I7" s="21">
        <v>33</v>
      </c>
      <c r="J7" s="21">
        <v>38</v>
      </c>
      <c r="K7" s="21">
        <f>34+1019</f>
        <v>1053</v>
      </c>
      <c r="L7" s="21">
        <v>22</v>
      </c>
      <c r="M7" s="32">
        <v>32204</v>
      </c>
      <c r="N7" s="32">
        <f>39</f>
        <v>39</v>
      </c>
      <c r="O7" s="32">
        <v>14973</v>
      </c>
    </row>
    <row r="8" spans="2:15" s="10" customFormat="1" ht="32.1" customHeight="1" x14ac:dyDescent="0.15">
      <c r="B8" s="55" t="s">
        <v>2</v>
      </c>
      <c r="C8" s="21">
        <f t="shared" ref="C8:C15" si="1">SUM(D8:O8)</f>
        <v>139227</v>
      </c>
      <c r="D8" s="32">
        <v>73398</v>
      </c>
      <c r="E8" s="32">
        <f>1745+60+4348</f>
        <v>6153</v>
      </c>
      <c r="F8" s="32">
        <v>4234</v>
      </c>
      <c r="G8" s="32">
        <v>64</v>
      </c>
      <c r="H8" s="21">
        <v>1</v>
      </c>
      <c r="I8" s="21">
        <v>48</v>
      </c>
      <c r="J8" s="21">
        <v>34</v>
      </c>
      <c r="K8" s="21">
        <f>2986+86</f>
        <v>3072</v>
      </c>
      <c r="L8" s="21">
        <v>139</v>
      </c>
      <c r="M8" s="32">
        <v>35108</v>
      </c>
      <c r="N8" s="32">
        <f>146</f>
        <v>146</v>
      </c>
      <c r="O8" s="32">
        <v>16830</v>
      </c>
    </row>
    <row r="9" spans="2:15" s="10" customFormat="1" ht="32.1" customHeight="1" x14ac:dyDescent="0.15">
      <c r="B9" s="55" t="s">
        <v>3</v>
      </c>
      <c r="C9" s="21">
        <f t="shared" si="1"/>
        <v>138579</v>
      </c>
      <c r="D9" s="32">
        <v>73324</v>
      </c>
      <c r="E9" s="32">
        <f>1235+4554+33</f>
        <v>5822</v>
      </c>
      <c r="F9" s="32">
        <v>5030</v>
      </c>
      <c r="G9" s="32">
        <v>90</v>
      </c>
      <c r="H9" s="21">
        <v>6</v>
      </c>
      <c r="I9" s="21">
        <v>58</v>
      </c>
      <c r="J9" s="21">
        <v>64</v>
      </c>
      <c r="K9" s="21">
        <f>1140+49</f>
        <v>1189</v>
      </c>
      <c r="L9" s="21">
        <v>234</v>
      </c>
      <c r="M9" s="32">
        <v>36422</v>
      </c>
      <c r="N9" s="32">
        <v>166</v>
      </c>
      <c r="O9" s="32">
        <v>16174</v>
      </c>
    </row>
    <row r="10" spans="2:15" s="10" customFormat="1" ht="32.1" customHeight="1" x14ac:dyDescent="0.15">
      <c r="B10" s="55" t="s">
        <v>4</v>
      </c>
      <c r="C10" s="21">
        <f t="shared" si="1"/>
        <v>133894</v>
      </c>
      <c r="D10" s="32">
        <v>69533</v>
      </c>
      <c r="E10" s="32">
        <f>1776+4354+49</f>
        <v>6179</v>
      </c>
      <c r="F10" s="32">
        <v>3269</v>
      </c>
      <c r="G10" s="32">
        <v>44</v>
      </c>
      <c r="H10" s="21">
        <v>0</v>
      </c>
      <c r="I10" s="21">
        <v>82</v>
      </c>
      <c r="J10" s="21">
        <v>46</v>
      </c>
      <c r="K10" s="21">
        <f>1621+20</f>
        <v>1641</v>
      </c>
      <c r="L10" s="21">
        <v>60</v>
      </c>
      <c r="M10" s="32">
        <v>36659</v>
      </c>
      <c r="N10" s="32">
        <v>191</v>
      </c>
      <c r="O10" s="32">
        <v>16190</v>
      </c>
    </row>
    <row r="11" spans="2:15" s="10" customFormat="1" ht="32.1" customHeight="1" x14ac:dyDescent="0.15">
      <c r="B11" s="55" t="s">
        <v>5</v>
      </c>
      <c r="C11" s="21">
        <f>SUM(D11:O11)</f>
        <v>136665</v>
      </c>
      <c r="D11" s="32">
        <v>68610</v>
      </c>
      <c r="E11" s="32">
        <f>6930+1951+15</f>
        <v>8896</v>
      </c>
      <c r="F11" s="32">
        <v>3449</v>
      </c>
      <c r="G11" s="32">
        <v>27</v>
      </c>
      <c r="H11" s="21">
        <v>0</v>
      </c>
      <c r="I11" s="21">
        <v>113</v>
      </c>
      <c r="J11" s="21">
        <v>34</v>
      </c>
      <c r="K11" s="21">
        <f>261+1602</f>
        <v>1863</v>
      </c>
      <c r="L11" s="21">
        <v>110</v>
      </c>
      <c r="M11" s="32">
        <v>36616</v>
      </c>
      <c r="N11" s="32">
        <v>447</v>
      </c>
      <c r="O11" s="32">
        <v>16500</v>
      </c>
    </row>
    <row r="12" spans="2:15" s="10" customFormat="1" ht="32.1" customHeight="1" x14ac:dyDescent="0.15">
      <c r="B12" s="55" t="s">
        <v>6</v>
      </c>
      <c r="C12" s="21">
        <f t="shared" si="1"/>
        <v>130849</v>
      </c>
      <c r="D12" s="32">
        <v>73694</v>
      </c>
      <c r="E12" s="32">
        <f>4313+2264+40</f>
        <v>6617</v>
      </c>
      <c r="F12" s="32">
        <v>4039</v>
      </c>
      <c r="G12" s="32">
        <v>35</v>
      </c>
      <c r="H12" s="21">
        <v>10</v>
      </c>
      <c r="I12" s="21">
        <v>267</v>
      </c>
      <c r="J12" s="21">
        <v>29</v>
      </c>
      <c r="K12" s="21">
        <f>2716+244</f>
        <v>2960</v>
      </c>
      <c r="L12" s="21">
        <v>104</v>
      </c>
      <c r="M12" s="32">
        <v>28465</v>
      </c>
      <c r="N12" s="32">
        <v>171</v>
      </c>
      <c r="O12" s="32">
        <v>14458</v>
      </c>
    </row>
    <row r="13" spans="2:15" s="10" customFormat="1" ht="32.1" customHeight="1" x14ac:dyDescent="0.15">
      <c r="B13" s="55" t="s">
        <v>7</v>
      </c>
      <c r="C13" s="21">
        <f>SUM(D13:O13)</f>
        <v>105625</v>
      </c>
      <c r="D13" s="32">
        <v>50281</v>
      </c>
      <c r="E13" s="32">
        <f>3630+798+9</f>
        <v>4437</v>
      </c>
      <c r="F13" s="32">
        <v>3570</v>
      </c>
      <c r="G13" s="32">
        <v>9</v>
      </c>
      <c r="H13" s="21">
        <v>0</v>
      </c>
      <c r="I13" s="21">
        <v>171</v>
      </c>
      <c r="J13" s="21">
        <v>25</v>
      </c>
      <c r="K13" s="21">
        <f>42+740</f>
        <v>782</v>
      </c>
      <c r="L13" s="21">
        <v>121</v>
      </c>
      <c r="M13" s="32">
        <v>26327</v>
      </c>
      <c r="N13" s="32">
        <v>88</v>
      </c>
      <c r="O13" s="32">
        <v>19814</v>
      </c>
    </row>
    <row r="14" spans="2:15" s="10" customFormat="1" ht="32.1" customHeight="1" x14ac:dyDescent="0.15">
      <c r="B14" s="55" t="s">
        <v>8</v>
      </c>
      <c r="C14" s="21">
        <f>SUM(D14:O14)</f>
        <v>98278</v>
      </c>
      <c r="D14" s="32">
        <v>49591</v>
      </c>
      <c r="E14" s="32">
        <f>3286+1620+145</f>
        <v>5051</v>
      </c>
      <c r="F14" s="32">
        <v>3256</v>
      </c>
      <c r="G14" s="32">
        <v>7</v>
      </c>
      <c r="H14" s="21">
        <v>48</v>
      </c>
      <c r="I14" s="21">
        <v>162</v>
      </c>
      <c r="J14" s="21">
        <v>41</v>
      </c>
      <c r="K14" s="21">
        <f>147+1312</f>
        <v>1459</v>
      </c>
      <c r="L14" s="21">
        <v>131</v>
      </c>
      <c r="M14" s="32">
        <v>24287</v>
      </c>
      <c r="N14" s="32">
        <v>127</v>
      </c>
      <c r="O14" s="32">
        <v>14118</v>
      </c>
    </row>
    <row r="15" spans="2:15" s="10" customFormat="1" ht="32.1" customHeight="1" x14ac:dyDescent="0.15">
      <c r="B15" s="55" t="s">
        <v>9</v>
      </c>
      <c r="C15" s="21">
        <f t="shared" si="1"/>
        <v>101515</v>
      </c>
      <c r="D15" s="32">
        <v>41979</v>
      </c>
      <c r="E15" s="32">
        <f>5717+1548+58</f>
        <v>7323</v>
      </c>
      <c r="F15" s="32">
        <v>3379</v>
      </c>
      <c r="G15" s="32">
        <v>25</v>
      </c>
      <c r="H15" s="21">
        <v>49</v>
      </c>
      <c r="I15" s="21">
        <v>133</v>
      </c>
      <c r="J15" s="21">
        <v>70</v>
      </c>
      <c r="K15" s="21">
        <v>1027</v>
      </c>
      <c r="L15" s="21">
        <v>53</v>
      </c>
      <c r="M15" s="32">
        <v>34029</v>
      </c>
      <c r="N15" s="32">
        <v>234</v>
      </c>
      <c r="O15" s="32">
        <v>13214</v>
      </c>
    </row>
    <row r="16" spans="2:15" s="10" customFormat="1" ht="32.1" customHeight="1" x14ac:dyDescent="0.15">
      <c r="B16" s="55" t="s">
        <v>10</v>
      </c>
      <c r="C16" s="21">
        <f>SUM(D16:O16)</f>
        <v>135185</v>
      </c>
      <c r="D16" s="32">
        <v>74196</v>
      </c>
      <c r="E16" s="32">
        <f>3022+3778+35</f>
        <v>6835</v>
      </c>
      <c r="F16" s="32">
        <v>4089</v>
      </c>
      <c r="G16" s="32">
        <v>23</v>
      </c>
      <c r="H16" s="21">
        <v>34</v>
      </c>
      <c r="I16" s="21">
        <v>58</v>
      </c>
      <c r="J16" s="21">
        <v>68</v>
      </c>
      <c r="K16" s="21">
        <f>35+2100</f>
        <v>2135</v>
      </c>
      <c r="L16" s="21">
        <v>203</v>
      </c>
      <c r="M16" s="32">
        <v>27277</v>
      </c>
      <c r="N16" s="32">
        <v>241</v>
      </c>
      <c r="O16" s="32">
        <v>20026</v>
      </c>
    </row>
    <row r="17" spans="2:15" s="10" customFormat="1" ht="32.1" customHeight="1" x14ac:dyDescent="0.15">
      <c r="B17" s="55" t="s">
        <v>11</v>
      </c>
      <c r="C17" s="21">
        <f>SUM(D17:O17)</f>
        <v>147905</v>
      </c>
      <c r="D17" s="32">
        <v>73051</v>
      </c>
      <c r="E17" s="32">
        <f>5325+1782+70</f>
        <v>7177</v>
      </c>
      <c r="F17" s="32">
        <v>3634</v>
      </c>
      <c r="G17" s="32">
        <v>7</v>
      </c>
      <c r="H17" s="21">
        <v>24</v>
      </c>
      <c r="I17" s="21">
        <v>145</v>
      </c>
      <c r="J17" s="21">
        <v>40</v>
      </c>
      <c r="K17" s="21">
        <f>9+1539</f>
        <v>1548</v>
      </c>
      <c r="L17" s="21">
        <v>413</v>
      </c>
      <c r="M17" s="32">
        <v>33156</v>
      </c>
      <c r="N17" s="32">
        <v>149</v>
      </c>
      <c r="O17" s="32">
        <v>28561</v>
      </c>
    </row>
  </sheetData>
  <mergeCells count="2">
    <mergeCell ref="B2:O2"/>
    <mergeCell ref="B3:O3"/>
  </mergeCells>
  <phoneticPr fontId="3" type="noConversion"/>
  <pageMargins left="1.18" right="0.51181102362204722" top="1.1000000000000001" bottom="0.74803149606299213" header="0.31496062992125984" footer="0.31496062992125984"/>
  <pageSetup paperSize="9" scale="98" fitToWidth="2" fitToHeight="2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7"/>
  <sheetViews>
    <sheetView workbookViewId="0"/>
  </sheetViews>
  <sheetFormatPr defaultRowHeight="13.5" x14ac:dyDescent="0.15"/>
  <cols>
    <col min="1" max="1" width="3.77734375" customWidth="1"/>
    <col min="2" max="2" width="10.109375" customWidth="1"/>
    <col min="3" max="3" width="12.109375" customWidth="1"/>
    <col min="4" max="15" width="10.109375" customWidth="1"/>
  </cols>
  <sheetData>
    <row r="1" spans="2:15" ht="32.1" customHeight="1" x14ac:dyDescent="0.15"/>
    <row r="2" spans="2:15" ht="39.950000000000003" customHeight="1" x14ac:dyDescent="0.15">
      <c r="B2" s="75" t="s">
        <v>221</v>
      </c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</row>
    <row r="3" spans="2:15" ht="32.1" customHeight="1" x14ac:dyDescent="0.15"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</row>
    <row r="4" spans="2:15" s="10" customFormat="1" ht="32.1" customHeight="1" x14ac:dyDescent="0.15">
      <c r="B4" s="52" t="s">
        <v>205</v>
      </c>
      <c r="C4" s="53" t="s">
        <v>14</v>
      </c>
      <c r="D4" s="53" t="s">
        <v>68</v>
      </c>
      <c r="E4" s="53" t="s">
        <v>69</v>
      </c>
      <c r="F4" s="53" t="s">
        <v>62</v>
      </c>
      <c r="G4" s="53" t="s">
        <v>157</v>
      </c>
      <c r="H4" s="53" t="s">
        <v>130</v>
      </c>
      <c r="I4" s="53" t="s">
        <v>177</v>
      </c>
      <c r="J4" s="53" t="s">
        <v>176</v>
      </c>
      <c r="K4" s="53" t="s">
        <v>63</v>
      </c>
      <c r="L4" s="53" t="s">
        <v>160</v>
      </c>
      <c r="M4" s="53" t="s">
        <v>151</v>
      </c>
      <c r="N4" s="53" t="s">
        <v>149</v>
      </c>
      <c r="O4" s="53" t="s">
        <v>150</v>
      </c>
    </row>
    <row r="5" spans="2:15" s="10" customFormat="1" ht="32.1" customHeight="1" x14ac:dyDescent="0.15">
      <c r="B5" s="53" t="s">
        <v>212</v>
      </c>
      <c r="C5" s="54">
        <f>SUM(C6:C17)</f>
        <v>1502883</v>
      </c>
      <c r="D5" s="54">
        <f t="shared" ref="D5:O5" si="0">SUM(D6:D17)</f>
        <v>749583</v>
      </c>
      <c r="E5" s="54">
        <f t="shared" si="0"/>
        <v>71600</v>
      </c>
      <c r="F5" s="54">
        <f t="shared" si="0"/>
        <v>43865</v>
      </c>
      <c r="G5" s="54">
        <f t="shared" si="0"/>
        <v>229</v>
      </c>
      <c r="H5" s="54">
        <f t="shared" si="0"/>
        <v>216</v>
      </c>
      <c r="I5" s="54">
        <f t="shared" si="0"/>
        <v>1410</v>
      </c>
      <c r="J5" s="54">
        <f t="shared" si="0"/>
        <v>494</v>
      </c>
      <c r="K5" s="54">
        <f t="shared" si="0"/>
        <v>23951</v>
      </c>
      <c r="L5" s="54">
        <f t="shared" si="0"/>
        <v>1271</v>
      </c>
      <c r="M5" s="54">
        <f t="shared" si="0"/>
        <v>340279</v>
      </c>
      <c r="N5" s="54">
        <f t="shared" si="0"/>
        <v>3489</v>
      </c>
      <c r="O5" s="54">
        <f t="shared" si="0"/>
        <v>266496</v>
      </c>
    </row>
    <row r="6" spans="2:15" s="10" customFormat="1" ht="32.1" customHeight="1" x14ac:dyDescent="0.15">
      <c r="B6" s="55" t="s">
        <v>0</v>
      </c>
      <c r="C6" s="21">
        <f>SUM(D6:O6)</f>
        <v>123824</v>
      </c>
      <c r="D6" s="32">
        <v>67238</v>
      </c>
      <c r="E6" s="32">
        <f>2987+2702</f>
        <v>5689</v>
      </c>
      <c r="F6" s="32">
        <v>4131</v>
      </c>
      <c r="G6" s="32">
        <v>31</v>
      </c>
      <c r="H6" s="21">
        <v>0</v>
      </c>
      <c r="I6" s="21">
        <v>53</v>
      </c>
      <c r="J6" s="21">
        <v>14</v>
      </c>
      <c r="K6" s="21">
        <f>10+1348</f>
        <v>1358</v>
      </c>
      <c r="L6" s="21">
        <v>43</v>
      </c>
      <c r="M6" s="32">
        <v>27967</v>
      </c>
      <c r="N6" s="32">
        <v>163</v>
      </c>
      <c r="O6" s="32">
        <v>17137</v>
      </c>
    </row>
    <row r="7" spans="2:15" s="10" customFormat="1" ht="32.1" customHeight="1" x14ac:dyDescent="0.15">
      <c r="B7" s="55" t="s">
        <v>1</v>
      </c>
      <c r="C7" s="21">
        <f>SUM(D7:O7)</f>
        <v>104401</v>
      </c>
      <c r="D7" s="41">
        <v>52029</v>
      </c>
      <c r="E7" s="41">
        <f>649+2776+18</f>
        <v>3443</v>
      </c>
      <c r="F7" s="41">
        <v>2565</v>
      </c>
      <c r="G7" s="41">
        <v>29</v>
      </c>
      <c r="H7" s="41">
        <v>88</v>
      </c>
      <c r="I7" s="41">
        <v>96</v>
      </c>
      <c r="J7" s="41">
        <v>38</v>
      </c>
      <c r="K7" s="41">
        <f>132+1444</f>
        <v>1576</v>
      </c>
      <c r="L7" s="41">
        <v>123</v>
      </c>
      <c r="M7" s="41">
        <v>26176</v>
      </c>
      <c r="N7" s="41">
        <v>177</v>
      </c>
      <c r="O7" s="41">
        <v>18061</v>
      </c>
    </row>
    <row r="8" spans="2:15" s="10" customFormat="1" ht="32.1" customHeight="1" x14ac:dyDescent="0.15">
      <c r="B8" s="55" t="s">
        <v>2</v>
      </c>
      <c r="C8" s="21">
        <f t="shared" ref="C8:C15" si="1">SUM(D8:O8)</f>
        <v>131415</v>
      </c>
      <c r="D8" s="32">
        <v>68678</v>
      </c>
      <c r="E8" s="32">
        <f>4964+189+84</f>
        <v>5237</v>
      </c>
      <c r="F8" s="32">
        <v>3666</v>
      </c>
      <c r="G8" s="32">
        <v>28</v>
      </c>
      <c r="H8" s="21">
        <v>64</v>
      </c>
      <c r="I8" s="21">
        <v>195</v>
      </c>
      <c r="J8" s="21">
        <v>55</v>
      </c>
      <c r="K8" s="21">
        <f>21+1791</f>
        <v>1812</v>
      </c>
      <c r="L8" s="21">
        <v>138</v>
      </c>
      <c r="M8" s="32">
        <v>30370</v>
      </c>
      <c r="N8" s="32">
        <v>354</v>
      </c>
      <c r="O8" s="32">
        <v>20818</v>
      </c>
    </row>
    <row r="9" spans="2:15" s="10" customFormat="1" ht="32.1" customHeight="1" x14ac:dyDescent="0.15">
      <c r="B9" s="55" t="s">
        <v>3</v>
      </c>
      <c r="C9" s="21">
        <f t="shared" si="1"/>
        <v>133887</v>
      </c>
      <c r="D9" s="32">
        <v>71548</v>
      </c>
      <c r="E9" s="32">
        <f>5744+851+126</f>
        <v>6721</v>
      </c>
      <c r="F9" s="32">
        <v>4420</v>
      </c>
      <c r="G9" s="32">
        <v>41</v>
      </c>
      <c r="H9" s="21">
        <v>8</v>
      </c>
      <c r="I9" s="21">
        <v>59</v>
      </c>
      <c r="J9" s="21">
        <v>29</v>
      </c>
      <c r="K9" s="21">
        <f>120+1854</f>
        <v>1974</v>
      </c>
      <c r="L9" s="21">
        <v>106</v>
      </c>
      <c r="M9" s="32">
        <v>24201</v>
      </c>
      <c r="N9" s="32">
        <v>177</v>
      </c>
      <c r="O9" s="32">
        <v>24603</v>
      </c>
    </row>
    <row r="10" spans="2:15" s="10" customFormat="1" ht="32.1" customHeight="1" x14ac:dyDescent="0.15">
      <c r="B10" s="55" t="s">
        <v>4</v>
      </c>
      <c r="C10" s="21">
        <f t="shared" si="1"/>
        <v>134133</v>
      </c>
      <c r="D10" s="32">
        <v>67127</v>
      </c>
      <c r="E10" s="32">
        <f>6023+441+63</f>
        <v>6527</v>
      </c>
      <c r="F10" s="32">
        <v>5264</v>
      </c>
      <c r="G10" s="32">
        <v>4</v>
      </c>
      <c r="H10" s="21">
        <v>11</v>
      </c>
      <c r="I10" s="21">
        <v>80</v>
      </c>
      <c r="J10" s="21">
        <v>83</v>
      </c>
      <c r="K10" s="21">
        <f>1+2352</f>
        <v>2353</v>
      </c>
      <c r="L10" s="21">
        <v>105</v>
      </c>
      <c r="M10" s="32">
        <v>34100</v>
      </c>
      <c r="N10" s="32">
        <v>299</v>
      </c>
      <c r="O10" s="32">
        <v>18180</v>
      </c>
    </row>
    <row r="11" spans="2:15" s="10" customFormat="1" ht="32.1" customHeight="1" x14ac:dyDescent="0.15">
      <c r="B11" s="55" t="s">
        <v>5</v>
      </c>
      <c r="C11" s="21">
        <f>SUM(D11:O11)</f>
        <v>135120</v>
      </c>
      <c r="D11" s="32">
        <v>70560</v>
      </c>
      <c r="E11" s="32">
        <f>4961+578+13</f>
        <v>5552</v>
      </c>
      <c r="F11" s="32">
        <v>3061</v>
      </c>
      <c r="G11" s="32">
        <v>14</v>
      </c>
      <c r="H11" s="21">
        <v>13</v>
      </c>
      <c r="I11" s="21">
        <v>85</v>
      </c>
      <c r="J11" s="21">
        <v>13</v>
      </c>
      <c r="K11" s="21">
        <f>69+1890</f>
        <v>1959</v>
      </c>
      <c r="L11" s="21">
        <v>85</v>
      </c>
      <c r="M11" s="32">
        <v>29415</v>
      </c>
      <c r="N11" s="32">
        <v>272</v>
      </c>
      <c r="O11" s="32">
        <v>24091</v>
      </c>
    </row>
    <row r="12" spans="2:15" s="10" customFormat="1" ht="32.1" customHeight="1" x14ac:dyDescent="0.15">
      <c r="B12" s="55" t="s">
        <v>6</v>
      </c>
      <c r="C12" s="21">
        <f t="shared" si="1"/>
        <v>128035</v>
      </c>
      <c r="D12" s="32">
        <v>60420</v>
      </c>
      <c r="E12" s="32">
        <f>5392+125+4</f>
        <v>5521</v>
      </c>
      <c r="F12" s="32">
        <v>3508</v>
      </c>
      <c r="G12" s="32">
        <v>8</v>
      </c>
      <c r="H12" s="21">
        <v>5</v>
      </c>
      <c r="I12" s="21">
        <v>161</v>
      </c>
      <c r="J12" s="21">
        <v>46</v>
      </c>
      <c r="K12" s="21">
        <f>34+2063</f>
        <v>2097</v>
      </c>
      <c r="L12" s="21">
        <v>66</v>
      </c>
      <c r="M12" s="32">
        <v>37719</v>
      </c>
      <c r="N12" s="32">
        <v>241</v>
      </c>
      <c r="O12" s="32">
        <v>18243</v>
      </c>
    </row>
    <row r="13" spans="2:15" s="10" customFormat="1" ht="32.1" customHeight="1" x14ac:dyDescent="0.15">
      <c r="B13" s="55" t="s">
        <v>7</v>
      </c>
      <c r="C13" s="21">
        <f>SUM(D13:O13)</f>
        <v>102074</v>
      </c>
      <c r="D13" s="32">
        <v>42580</v>
      </c>
      <c r="E13" s="32">
        <f>4649+1190+14</f>
        <v>5853</v>
      </c>
      <c r="F13" s="32">
        <v>3900</v>
      </c>
      <c r="G13" s="32">
        <v>7</v>
      </c>
      <c r="H13" s="21">
        <v>0</v>
      </c>
      <c r="I13" s="21">
        <v>99</v>
      </c>
      <c r="J13" s="21">
        <v>25</v>
      </c>
      <c r="K13" s="21">
        <f>4+2032</f>
        <v>2036</v>
      </c>
      <c r="L13" s="21">
        <v>162</v>
      </c>
      <c r="M13" s="32">
        <v>22465</v>
      </c>
      <c r="N13" s="32">
        <v>304</v>
      </c>
      <c r="O13" s="32">
        <v>24643</v>
      </c>
    </row>
    <row r="14" spans="2:15" s="10" customFormat="1" ht="32.1" customHeight="1" x14ac:dyDescent="0.15">
      <c r="B14" s="55" t="s">
        <v>8</v>
      </c>
      <c r="C14" s="21">
        <f>SUM(D14:O14)</f>
        <v>116091</v>
      </c>
      <c r="D14" s="32">
        <v>56291</v>
      </c>
      <c r="E14" s="32">
        <f>4468+1580+4</f>
        <v>6052</v>
      </c>
      <c r="F14" s="32">
        <v>2891</v>
      </c>
      <c r="G14" s="32">
        <v>0</v>
      </c>
      <c r="H14" s="21">
        <v>0</v>
      </c>
      <c r="I14" s="21">
        <v>85</v>
      </c>
      <c r="J14" s="21">
        <v>21</v>
      </c>
      <c r="K14" s="21">
        <f>205+981</f>
        <v>1186</v>
      </c>
      <c r="L14" s="21">
        <v>64</v>
      </c>
      <c r="M14" s="32">
        <v>22553</v>
      </c>
      <c r="N14" s="32">
        <v>334</v>
      </c>
      <c r="O14" s="32">
        <v>26614</v>
      </c>
    </row>
    <row r="15" spans="2:15" s="10" customFormat="1" ht="32.1" customHeight="1" x14ac:dyDescent="0.15">
      <c r="B15" s="55" t="s">
        <v>9</v>
      </c>
      <c r="C15" s="21">
        <f t="shared" si="1"/>
        <v>127614</v>
      </c>
      <c r="D15" s="32">
        <v>60820</v>
      </c>
      <c r="E15" s="32">
        <f>1309+45+5691</f>
        <v>7045</v>
      </c>
      <c r="F15" s="32">
        <v>3933</v>
      </c>
      <c r="G15" s="32">
        <v>38</v>
      </c>
      <c r="H15" s="21">
        <v>4</v>
      </c>
      <c r="I15" s="21">
        <v>39</v>
      </c>
      <c r="J15" s="21">
        <v>128</v>
      </c>
      <c r="K15" s="21">
        <f>25+2835</f>
        <v>2860</v>
      </c>
      <c r="L15" s="21">
        <v>48</v>
      </c>
      <c r="M15" s="32">
        <v>33252</v>
      </c>
      <c r="N15" s="32">
        <v>650</v>
      </c>
      <c r="O15" s="32">
        <v>18797</v>
      </c>
    </row>
    <row r="16" spans="2:15" s="10" customFormat="1" ht="32.1" customHeight="1" x14ac:dyDescent="0.15">
      <c r="B16" s="55" t="s">
        <v>10</v>
      </c>
      <c r="C16" s="21">
        <f>SUM(D16:O16)</f>
        <v>131261</v>
      </c>
      <c r="D16" s="32">
        <v>67269</v>
      </c>
      <c r="E16" s="32">
        <f>158+64+7037</f>
        <v>7259</v>
      </c>
      <c r="F16" s="32">
        <v>3398</v>
      </c>
      <c r="G16" s="32">
        <v>3</v>
      </c>
      <c r="H16" s="21">
        <v>16</v>
      </c>
      <c r="I16" s="21">
        <v>211</v>
      </c>
      <c r="J16" s="21">
        <v>15</v>
      </c>
      <c r="K16" s="21">
        <f>133+1338</f>
        <v>1471</v>
      </c>
      <c r="L16" s="21">
        <v>251</v>
      </c>
      <c r="M16" s="32">
        <v>26200</v>
      </c>
      <c r="N16" s="32">
        <v>367</v>
      </c>
      <c r="O16" s="32">
        <v>24801</v>
      </c>
    </row>
    <row r="17" spans="2:15" s="10" customFormat="1" ht="32.1" customHeight="1" x14ac:dyDescent="0.15">
      <c r="B17" s="55" t="s">
        <v>11</v>
      </c>
      <c r="C17" s="21">
        <f>SUM(D17:O17)</f>
        <v>135028</v>
      </c>
      <c r="D17" s="32">
        <v>65023</v>
      </c>
      <c r="E17" s="32">
        <f>260+129+6312</f>
        <v>6701</v>
      </c>
      <c r="F17" s="32">
        <v>3128</v>
      </c>
      <c r="G17" s="32">
        <v>26</v>
      </c>
      <c r="H17" s="21">
        <v>7</v>
      </c>
      <c r="I17" s="21">
        <v>247</v>
      </c>
      <c r="J17" s="21">
        <v>27</v>
      </c>
      <c r="K17" s="21">
        <f>741+2528</f>
        <v>3269</v>
      </c>
      <c r="L17" s="21">
        <v>80</v>
      </c>
      <c r="M17" s="32">
        <v>25861</v>
      </c>
      <c r="N17" s="32">
        <f>151</f>
        <v>151</v>
      </c>
      <c r="O17" s="32">
        <v>30508</v>
      </c>
    </row>
  </sheetData>
  <mergeCells count="2">
    <mergeCell ref="B2:O2"/>
    <mergeCell ref="B3:O3"/>
  </mergeCells>
  <phoneticPr fontId="3" type="noConversion"/>
  <pageMargins left="1.1399999999999999" right="0.51181102362204722" top="1.1000000000000001" bottom="0.74803149606299213" header="0.31496062992125984" footer="0.31496062992125984"/>
  <pageSetup paperSize="9" scale="98" fitToWidth="2" fitToHeight="2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7"/>
  <sheetViews>
    <sheetView workbookViewId="0"/>
  </sheetViews>
  <sheetFormatPr defaultRowHeight="13.5" x14ac:dyDescent="0.15"/>
  <cols>
    <col min="1" max="1" width="3.77734375" customWidth="1"/>
    <col min="2" max="2" width="10.109375" customWidth="1"/>
    <col min="3" max="3" width="12.109375" customWidth="1"/>
    <col min="4" max="15" width="10.109375" customWidth="1"/>
  </cols>
  <sheetData>
    <row r="1" spans="2:17" ht="32.1" customHeight="1" x14ac:dyDescent="0.15"/>
    <row r="2" spans="2:17" ht="39.950000000000003" customHeight="1" x14ac:dyDescent="0.15">
      <c r="B2" s="75" t="s">
        <v>222</v>
      </c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</row>
    <row r="3" spans="2:17" ht="32.1" customHeight="1" x14ac:dyDescent="0.15"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</row>
    <row r="4" spans="2:17" s="10" customFormat="1" ht="32.1" customHeight="1" x14ac:dyDescent="0.15">
      <c r="B4" s="52" t="s">
        <v>205</v>
      </c>
      <c r="C4" s="53" t="s">
        <v>14</v>
      </c>
      <c r="D4" s="53" t="s">
        <v>68</v>
      </c>
      <c r="E4" s="53" t="s">
        <v>69</v>
      </c>
      <c r="F4" s="53" t="s">
        <v>62</v>
      </c>
      <c r="G4" s="53" t="s">
        <v>157</v>
      </c>
      <c r="H4" s="53" t="s">
        <v>130</v>
      </c>
      <c r="I4" s="53" t="s">
        <v>178</v>
      </c>
      <c r="J4" s="53" t="s">
        <v>179</v>
      </c>
      <c r="K4" s="53" t="s">
        <v>63</v>
      </c>
      <c r="L4" s="53" t="s">
        <v>160</v>
      </c>
      <c r="M4" s="53" t="s">
        <v>161</v>
      </c>
      <c r="N4" s="53" t="s">
        <v>162</v>
      </c>
      <c r="O4" s="53" t="s">
        <v>180</v>
      </c>
    </row>
    <row r="5" spans="2:17" s="10" customFormat="1" ht="32.1" customHeight="1" x14ac:dyDescent="0.15">
      <c r="B5" s="53" t="s">
        <v>213</v>
      </c>
      <c r="C5" s="54">
        <f>SUM(C6:C17)</f>
        <v>1337094</v>
      </c>
      <c r="D5" s="54">
        <f t="shared" ref="D5:O5" si="0">SUM(D6:D17)</f>
        <v>626598</v>
      </c>
      <c r="E5" s="54">
        <f t="shared" si="0"/>
        <v>62076</v>
      </c>
      <c r="F5" s="54">
        <f t="shared" si="0"/>
        <v>46253</v>
      </c>
      <c r="G5" s="54">
        <f t="shared" si="0"/>
        <v>102</v>
      </c>
      <c r="H5" s="54">
        <f t="shared" si="0"/>
        <v>36</v>
      </c>
      <c r="I5" s="54">
        <f t="shared" si="0"/>
        <v>1481</v>
      </c>
      <c r="J5" s="54">
        <f t="shared" si="0"/>
        <v>322</v>
      </c>
      <c r="K5" s="54">
        <f t="shared" si="0"/>
        <v>21697</v>
      </c>
      <c r="L5" s="54">
        <f t="shared" si="0"/>
        <v>1396</v>
      </c>
      <c r="M5" s="54">
        <f t="shared" si="0"/>
        <v>303110</v>
      </c>
      <c r="N5" s="54">
        <f t="shared" si="0"/>
        <v>3827</v>
      </c>
      <c r="O5" s="54">
        <f t="shared" si="0"/>
        <v>270196</v>
      </c>
    </row>
    <row r="6" spans="2:17" s="10" customFormat="1" ht="32.1" customHeight="1" x14ac:dyDescent="0.15">
      <c r="B6" s="55" t="s">
        <v>0</v>
      </c>
      <c r="C6" s="21">
        <f>SUM(D6:O6)</f>
        <v>108782</v>
      </c>
      <c r="D6" s="32">
        <v>54141</v>
      </c>
      <c r="E6" s="32">
        <f>1501+11+3345</f>
        <v>4857</v>
      </c>
      <c r="F6" s="32">
        <v>2970</v>
      </c>
      <c r="G6" s="32">
        <v>0</v>
      </c>
      <c r="H6" s="21">
        <v>0</v>
      </c>
      <c r="I6" s="21">
        <v>131</v>
      </c>
      <c r="J6" s="21">
        <v>11</v>
      </c>
      <c r="K6" s="21">
        <f>14+1914</f>
        <v>1928</v>
      </c>
      <c r="L6" s="21">
        <v>161</v>
      </c>
      <c r="M6" s="32">
        <v>22181</v>
      </c>
      <c r="N6" s="32">
        <v>440</v>
      </c>
      <c r="O6" s="32">
        <v>21962</v>
      </c>
      <c r="Q6" s="22"/>
    </row>
    <row r="7" spans="2:17" s="10" customFormat="1" ht="32.1" customHeight="1" x14ac:dyDescent="0.15">
      <c r="B7" s="55" t="s">
        <v>31</v>
      </c>
      <c r="C7" s="21">
        <f>SUM(D7:O7)</f>
        <v>101642</v>
      </c>
      <c r="D7" s="41">
        <v>50206</v>
      </c>
      <c r="E7" s="41">
        <f>114+50+2389</f>
        <v>2553</v>
      </c>
      <c r="F7" s="41">
        <v>2379</v>
      </c>
      <c r="G7" s="41">
        <v>0</v>
      </c>
      <c r="H7" s="41">
        <v>1</v>
      </c>
      <c r="I7" s="41">
        <v>42</v>
      </c>
      <c r="J7" s="41">
        <v>27</v>
      </c>
      <c r="K7" s="41">
        <f>180+572</f>
        <v>752</v>
      </c>
      <c r="L7" s="41">
        <v>161</v>
      </c>
      <c r="M7" s="41">
        <v>23420</v>
      </c>
      <c r="N7" s="41">
        <v>126</v>
      </c>
      <c r="O7" s="41">
        <v>21975</v>
      </c>
    </row>
    <row r="8" spans="2:17" s="10" customFormat="1" ht="32.1" customHeight="1" x14ac:dyDescent="0.15">
      <c r="B8" s="55" t="s">
        <v>2</v>
      </c>
      <c r="C8" s="21">
        <f t="shared" ref="C8:C15" si="1">SUM(D8:O8)</f>
        <v>123927</v>
      </c>
      <c r="D8" s="32">
        <v>65789</v>
      </c>
      <c r="E8" s="32">
        <f>249+26+2753</f>
        <v>3028</v>
      </c>
      <c r="F8" s="32">
        <v>3490</v>
      </c>
      <c r="G8" s="32">
        <v>1</v>
      </c>
      <c r="H8" s="21">
        <v>5</v>
      </c>
      <c r="I8" s="21">
        <v>81</v>
      </c>
      <c r="J8" s="21">
        <v>46</v>
      </c>
      <c r="K8" s="21">
        <f>372+1034</f>
        <v>1406</v>
      </c>
      <c r="L8" s="21">
        <v>70</v>
      </c>
      <c r="M8" s="32">
        <v>28756</v>
      </c>
      <c r="N8" s="32">
        <v>147</v>
      </c>
      <c r="O8" s="32">
        <v>21108</v>
      </c>
    </row>
    <row r="9" spans="2:17" s="10" customFormat="1" ht="32.1" customHeight="1" x14ac:dyDescent="0.15">
      <c r="B9" s="55" t="s">
        <v>3</v>
      </c>
      <c r="C9" s="21">
        <f t="shared" si="1"/>
        <v>113381</v>
      </c>
      <c r="D9" s="32">
        <v>53582</v>
      </c>
      <c r="E9" s="32">
        <f>6236+1145+3</f>
        <v>7384</v>
      </c>
      <c r="F9" s="32">
        <v>3934</v>
      </c>
      <c r="G9" s="32">
        <v>1</v>
      </c>
      <c r="H9" s="21">
        <v>0</v>
      </c>
      <c r="I9" s="21">
        <v>73</v>
      </c>
      <c r="J9" s="21">
        <v>58</v>
      </c>
      <c r="K9" s="21">
        <f>6+1247</f>
        <v>1253</v>
      </c>
      <c r="L9" s="21">
        <v>94</v>
      </c>
      <c r="M9" s="32">
        <v>23287</v>
      </c>
      <c r="N9" s="32">
        <v>200</v>
      </c>
      <c r="O9" s="32">
        <v>23515</v>
      </c>
    </row>
    <row r="10" spans="2:17" s="10" customFormat="1" ht="32.1" customHeight="1" x14ac:dyDescent="0.15">
      <c r="B10" s="55" t="s">
        <v>4</v>
      </c>
      <c r="C10" s="21">
        <f t="shared" si="1"/>
        <v>101320</v>
      </c>
      <c r="D10" s="32">
        <v>43019</v>
      </c>
      <c r="E10" s="32">
        <f>4574+500+13</f>
        <v>5087</v>
      </c>
      <c r="F10" s="32">
        <v>3372</v>
      </c>
      <c r="G10" s="32">
        <v>17</v>
      </c>
      <c r="H10" s="21">
        <v>0</v>
      </c>
      <c r="I10" s="21">
        <v>123</v>
      </c>
      <c r="J10" s="21">
        <v>47</v>
      </c>
      <c r="K10" s="21">
        <f>17+1071</f>
        <v>1088</v>
      </c>
      <c r="L10" s="21">
        <v>247</v>
      </c>
      <c r="M10" s="32">
        <v>23618</v>
      </c>
      <c r="N10" s="32">
        <v>410</v>
      </c>
      <c r="O10" s="32">
        <v>24292</v>
      </c>
    </row>
    <row r="11" spans="2:17" s="10" customFormat="1" ht="32.1" customHeight="1" x14ac:dyDescent="0.15">
      <c r="B11" s="55" t="s">
        <v>5</v>
      </c>
      <c r="C11" s="21">
        <f>SUM(D11:O11)</f>
        <v>115641</v>
      </c>
      <c r="D11" s="32">
        <v>55951</v>
      </c>
      <c r="E11" s="32">
        <f>5335+11+59</f>
        <v>5405</v>
      </c>
      <c r="F11" s="32">
        <v>4013</v>
      </c>
      <c r="G11" s="32"/>
      <c r="H11" s="21"/>
      <c r="I11" s="21">
        <v>103</v>
      </c>
      <c r="J11" s="21">
        <v>4</v>
      </c>
      <c r="K11" s="21">
        <f>215+1537</f>
        <v>1752</v>
      </c>
      <c r="L11" s="21">
        <v>81</v>
      </c>
      <c r="M11" s="32">
        <v>24975</v>
      </c>
      <c r="N11" s="32">
        <v>309</v>
      </c>
      <c r="O11" s="32">
        <v>23048</v>
      </c>
    </row>
    <row r="12" spans="2:17" s="10" customFormat="1" ht="32.1" customHeight="1" x14ac:dyDescent="0.15">
      <c r="B12" s="55" t="s">
        <v>6</v>
      </c>
      <c r="C12" s="21">
        <f t="shared" si="1"/>
        <v>116013</v>
      </c>
      <c r="D12" s="32">
        <v>58083</v>
      </c>
      <c r="E12" s="32">
        <f>4679+866+34</f>
        <v>5579</v>
      </c>
      <c r="F12" s="32">
        <v>3505</v>
      </c>
      <c r="G12" s="32">
        <v>7</v>
      </c>
      <c r="H12" s="21">
        <v>0</v>
      </c>
      <c r="I12" s="21">
        <v>156</v>
      </c>
      <c r="J12" s="21">
        <v>22</v>
      </c>
      <c r="K12" s="21">
        <f>113+1470</f>
        <v>1583</v>
      </c>
      <c r="L12" s="21">
        <v>103</v>
      </c>
      <c r="M12" s="32">
        <v>21586</v>
      </c>
      <c r="N12" s="32">
        <v>186</v>
      </c>
      <c r="O12" s="32">
        <v>25203</v>
      </c>
    </row>
    <row r="13" spans="2:17" s="10" customFormat="1" ht="32.1" customHeight="1" x14ac:dyDescent="0.15">
      <c r="B13" s="55" t="s">
        <v>7</v>
      </c>
      <c r="C13" s="21">
        <f>SUM(D13:O13)</f>
        <v>85598</v>
      </c>
      <c r="D13" s="32">
        <v>30459</v>
      </c>
      <c r="E13" s="32">
        <f>3210+2298+18</f>
        <v>5526</v>
      </c>
      <c r="F13" s="32">
        <v>4083</v>
      </c>
      <c r="G13" s="32">
        <v>5</v>
      </c>
      <c r="H13" s="21">
        <v>1</v>
      </c>
      <c r="I13" s="21">
        <v>199</v>
      </c>
      <c r="J13" s="21">
        <v>40</v>
      </c>
      <c r="K13" s="21">
        <f>211+1356</f>
        <v>1567</v>
      </c>
      <c r="L13" s="21">
        <v>44</v>
      </c>
      <c r="M13" s="32">
        <v>19608</v>
      </c>
      <c r="N13" s="32">
        <v>319</v>
      </c>
      <c r="O13" s="32">
        <v>23747</v>
      </c>
    </row>
    <row r="14" spans="2:17" s="10" customFormat="1" ht="32.1" customHeight="1" x14ac:dyDescent="0.15">
      <c r="B14" s="55" t="s">
        <v>8</v>
      </c>
      <c r="C14" s="21">
        <f>SUM(D14:O14)</f>
        <v>93039</v>
      </c>
      <c r="D14" s="32">
        <v>36617</v>
      </c>
      <c r="E14" s="32">
        <f>4940+26</f>
        <v>4966</v>
      </c>
      <c r="F14" s="32">
        <v>4627</v>
      </c>
      <c r="G14" s="32">
        <v>9</v>
      </c>
      <c r="H14" s="21">
        <v>0</v>
      </c>
      <c r="I14" s="21">
        <v>77</v>
      </c>
      <c r="J14" s="21">
        <v>13</v>
      </c>
      <c r="K14" s="21">
        <f>300+1988</f>
        <v>2288</v>
      </c>
      <c r="L14" s="21">
        <v>137</v>
      </c>
      <c r="M14" s="32">
        <v>22611</v>
      </c>
      <c r="N14" s="32">
        <v>178</v>
      </c>
      <c r="O14" s="32">
        <v>21516</v>
      </c>
    </row>
    <row r="15" spans="2:17" s="10" customFormat="1" ht="32.1" customHeight="1" x14ac:dyDescent="0.15">
      <c r="B15" s="55" t="s">
        <v>9</v>
      </c>
      <c r="C15" s="21">
        <f t="shared" si="1"/>
        <v>105687</v>
      </c>
      <c r="D15" s="32">
        <v>48177</v>
      </c>
      <c r="E15" s="32">
        <f>4706+884+29</f>
        <v>5619</v>
      </c>
      <c r="F15" s="32">
        <v>3550</v>
      </c>
      <c r="G15" s="32">
        <v>2</v>
      </c>
      <c r="H15" s="21">
        <v>13</v>
      </c>
      <c r="I15" s="21">
        <v>170</v>
      </c>
      <c r="J15" s="21">
        <v>16</v>
      </c>
      <c r="K15" s="21">
        <f>1259+1541</f>
        <v>2800</v>
      </c>
      <c r="L15" s="21">
        <v>168</v>
      </c>
      <c r="M15" s="32">
        <v>22315</v>
      </c>
      <c r="N15" s="32">
        <v>528</v>
      </c>
      <c r="O15" s="32">
        <v>22329</v>
      </c>
    </row>
    <row r="16" spans="2:17" s="10" customFormat="1" ht="32.1" customHeight="1" x14ac:dyDescent="0.15">
      <c r="B16" s="55" t="s">
        <v>10</v>
      </c>
      <c r="C16" s="21">
        <f>SUM(D16:O16)</f>
        <v>129221</v>
      </c>
      <c r="D16" s="32">
        <v>58383</v>
      </c>
      <c r="E16" s="32">
        <f>4683+834+16</f>
        <v>5533</v>
      </c>
      <c r="F16" s="32">
        <v>4081</v>
      </c>
      <c r="G16" s="32">
        <v>45</v>
      </c>
      <c r="H16" s="21">
        <v>15</v>
      </c>
      <c r="I16" s="21">
        <v>227</v>
      </c>
      <c r="J16" s="21">
        <v>19</v>
      </c>
      <c r="K16" s="21">
        <f>164+1454</f>
        <v>1618</v>
      </c>
      <c r="L16" s="21">
        <v>80</v>
      </c>
      <c r="M16" s="32">
        <v>36473</v>
      </c>
      <c r="N16" s="32">
        <v>546</v>
      </c>
      <c r="O16" s="32">
        <v>22201</v>
      </c>
    </row>
    <row r="17" spans="2:15" s="10" customFormat="1" ht="32.1" customHeight="1" x14ac:dyDescent="0.15">
      <c r="B17" s="55" t="s">
        <v>11</v>
      </c>
      <c r="C17" s="21">
        <f>SUM(D17:O17)</f>
        <v>142843</v>
      </c>
      <c r="D17" s="32">
        <v>72191</v>
      </c>
      <c r="E17" s="32">
        <f>5022+1437+80</f>
        <v>6539</v>
      </c>
      <c r="F17" s="32">
        <v>6249</v>
      </c>
      <c r="G17" s="32">
        <v>15</v>
      </c>
      <c r="H17" s="21">
        <v>1</v>
      </c>
      <c r="I17" s="21">
        <v>99</v>
      </c>
      <c r="J17" s="21">
        <v>19</v>
      </c>
      <c r="K17" s="21">
        <f>1311+2351</f>
        <v>3662</v>
      </c>
      <c r="L17" s="21">
        <v>50</v>
      </c>
      <c r="M17" s="32">
        <v>34280</v>
      </c>
      <c r="N17" s="32">
        <v>438</v>
      </c>
      <c r="O17" s="32">
        <v>19300</v>
      </c>
    </row>
  </sheetData>
  <mergeCells count="2">
    <mergeCell ref="B2:O2"/>
    <mergeCell ref="B3:O3"/>
  </mergeCells>
  <phoneticPr fontId="3" type="noConversion"/>
  <pageMargins left="1.1399999999999999" right="0.51181102362204722" top="1.1000000000000001" bottom="0.74803149606299213" header="0.31496062992125984" footer="0.31496062992125984"/>
  <pageSetup paperSize="9" scale="98" fitToWidth="2" fitToHeight="2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7"/>
  <sheetViews>
    <sheetView workbookViewId="0"/>
  </sheetViews>
  <sheetFormatPr defaultRowHeight="13.5" x14ac:dyDescent="0.15"/>
  <cols>
    <col min="1" max="1" width="3.77734375" customWidth="1"/>
    <col min="2" max="2" width="10.109375" customWidth="1"/>
    <col min="3" max="3" width="12.109375" customWidth="1"/>
    <col min="4" max="15" width="10.109375" customWidth="1"/>
  </cols>
  <sheetData>
    <row r="1" spans="2:15" ht="32.1" customHeight="1" x14ac:dyDescent="0.15"/>
    <row r="2" spans="2:15" ht="39.950000000000003" customHeight="1" x14ac:dyDescent="0.15">
      <c r="B2" s="75" t="s">
        <v>223</v>
      </c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</row>
    <row r="3" spans="2:15" ht="32.1" customHeight="1" x14ac:dyDescent="0.15"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</row>
    <row r="4" spans="2:15" s="10" customFormat="1" ht="32.1" customHeight="1" x14ac:dyDescent="0.15">
      <c r="B4" s="52" t="s">
        <v>205</v>
      </c>
      <c r="C4" s="53" t="s">
        <v>14</v>
      </c>
      <c r="D4" s="53" t="s">
        <v>68</v>
      </c>
      <c r="E4" s="53" t="s">
        <v>69</v>
      </c>
      <c r="F4" s="53" t="s">
        <v>62</v>
      </c>
      <c r="G4" s="53" t="s">
        <v>157</v>
      </c>
      <c r="H4" s="53" t="s">
        <v>130</v>
      </c>
      <c r="I4" s="53" t="s">
        <v>177</v>
      </c>
      <c r="J4" s="53" t="s">
        <v>176</v>
      </c>
      <c r="K4" s="53" t="s">
        <v>63</v>
      </c>
      <c r="L4" s="53" t="s">
        <v>160</v>
      </c>
      <c r="M4" s="53" t="s">
        <v>151</v>
      </c>
      <c r="N4" s="53" t="s">
        <v>149</v>
      </c>
      <c r="O4" s="53" t="s">
        <v>150</v>
      </c>
    </row>
    <row r="5" spans="2:15" s="10" customFormat="1" ht="32.1" customHeight="1" x14ac:dyDescent="0.15">
      <c r="B5" s="53" t="s">
        <v>209</v>
      </c>
      <c r="C5" s="54">
        <f>SUM(C6:C17)</f>
        <v>1287409</v>
      </c>
      <c r="D5" s="54">
        <f t="shared" ref="D5:O5" si="0">SUM(D6:D17)</f>
        <v>572378</v>
      </c>
      <c r="E5" s="54">
        <f t="shared" si="0"/>
        <v>59263</v>
      </c>
      <c r="F5" s="54">
        <f t="shared" si="0"/>
        <v>35609</v>
      </c>
      <c r="G5" s="54">
        <f t="shared" si="0"/>
        <v>141</v>
      </c>
      <c r="H5" s="54">
        <f t="shared" si="0"/>
        <v>71</v>
      </c>
      <c r="I5" s="54">
        <f t="shared" si="0"/>
        <v>2312</v>
      </c>
      <c r="J5" s="54">
        <f t="shared" si="0"/>
        <v>409</v>
      </c>
      <c r="K5" s="54">
        <f t="shared" si="0"/>
        <v>32124</v>
      </c>
      <c r="L5" s="54">
        <f t="shared" si="0"/>
        <v>1319</v>
      </c>
      <c r="M5" s="54">
        <f t="shared" si="0"/>
        <v>331075</v>
      </c>
      <c r="N5" s="54">
        <f t="shared" si="0"/>
        <v>8742</v>
      </c>
      <c r="O5" s="54">
        <f t="shared" si="0"/>
        <v>247689</v>
      </c>
    </row>
    <row r="6" spans="2:15" s="10" customFormat="1" ht="32.1" customHeight="1" x14ac:dyDescent="0.15">
      <c r="B6" s="55" t="s">
        <v>0</v>
      </c>
      <c r="C6" s="21">
        <f t="shared" ref="C6:C16" si="1">SUM(D6:O6)</f>
        <v>94237</v>
      </c>
      <c r="D6" s="32">
        <v>42348</v>
      </c>
      <c r="E6" s="32">
        <f>1553+1285</f>
        <v>2838</v>
      </c>
      <c r="F6" s="32">
        <v>4045</v>
      </c>
      <c r="G6" s="32">
        <v>14</v>
      </c>
      <c r="H6" s="21">
        <v>11</v>
      </c>
      <c r="I6" s="21">
        <v>102</v>
      </c>
      <c r="J6" s="21">
        <v>48</v>
      </c>
      <c r="K6" s="21">
        <f>427+1546</f>
        <v>1973</v>
      </c>
      <c r="L6" s="21">
        <v>238</v>
      </c>
      <c r="M6" s="32">
        <v>25040</v>
      </c>
      <c r="N6" s="32">
        <v>467</v>
      </c>
      <c r="O6" s="32">
        <v>17113</v>
      </c>
    </row>
    <row r="7" spans="2:15" s="10" customFormat="1" ht="32.1" customHeight="1" x14ac:dyDescent="0.15">
      <c r="B7" s="55" t="s">
        <v>1</v>
      </c>
      <c r="C7" s="21">
        <f t="shared" si="1"/>
        <v>106482</v>
      </c>
      <c r="D7" s="41">
        <v>50581</v>
      </c>
      <c r="E7" s="41">
        <f>283+1603</f>
        <v>1886</v>
      </c>
      <c r="F7" s="41">
        <v>2555</v>
      </c>
      <c r="G7" s="41">
        <v>20</v>
      </c>
      <c r="H7" s="41">
        <v>26</v>
      </c>
      <c r="I7" s="41">
        <v>149</v>
      </c>
      <c r="J7" s="41">
        <v>65</v>
      </c>
      <c r="K7" s="41">
        <f>120+1606</f>
        <v>1726</v>
      </c>
      <c r="L7" s="41">
        <v>83</v>
      </c>
      <c r="M7" s="41">
        <v>39707</v>
      </c>
      <c r="N7" s="41">
        <v>686</v>
      </c>
      <c r="O7" s="41">
        <v>8998</v>
      </c>
    </row>
    <row r="8" spans="2:15" s="10" customFormat="1" ht="32.1" customHeight="1" x14ac:dyDescent="0.15">
      <c r="B8" s="55" t="s">
        <v>2</v>
      </c>
      <c r="C8" s="21">
        <f t="shared" si="1"/>
        <v>115266</v>
      </c>
      <c r="D8" s="32">
        <v>54761</v>
      </c>
      <c r="E8" s="32">
        <f>3138+22</f>
        <v>3160</v>
      </c>
      <c r="F8" s="32">
        <v>2808</v>
      </c>
      <c r="G8" s="32">
        <v>0</v>
      </c>
      <c r="H8" s="21">
        <v>5</v>
      </c>
      <c r="I8" s="21">
        <v>208</v>
      </c>
      <c r="J8" s="21">
        <v>12</v>
      </c>
      <c r="K8" s="21">
        <f>1503+889</f>
        <v>2392</v>
      </c>
      <c r="L8" s="21">
        <v>77</v>
      </c>
      <c r="M8" s="32">
        <v>30134</v>
      </c>
      <c r="N8" s="32">
        <v>611</v>
      </c>
      <c r="O8" s="32">
        <v>21098</v>
      </c>
    </row>
    <row r="9" spans="2:15" s="10" customFormat="1" ht="32.1" customHeight="1" x14ac:dyDescent="0.15">
      <c r="B9" s="55" t="s">
        <v>3</v>
      </c>
      <c r="C9" s="21">
        <f t="shared" si="1"/>
        <v>114553</v>
      </c>
      <c r="D9" s="32">
        <v>52544</v>
      </c>
      <c r="E9" s="32">
        <f>2253+147+50</f>
        <v>2450</v>
      </c>
      <c r="F9" s="32">
        <v>3142</v>
      </c>
      <c r="G9" s="32">
        <v>9</v>
      </c>
      <c r="H9" s="21">
        <v>5</v>
      </c>
      <c r="I9" s="21">
        <v>176</v>
      </c>
      <c r="J9" s="21">
        <v>39</v>
      </c>
      <c r="K9" s="21">
        <f>2547+804</f>
        <v>3351</v>
      </c>
      <c r="L9" s="21">
        <v>107</v>
      </c>
      <c r="M9" s="32">
        <v>31437</v>
      </c>
      <c r="N9" s="32">
        <v>967</v>
      </c>
      <c r="O9" s="32">
        <v>20326</v>
      </c>
    </row>
    <row r="10" spans="2:15" s="10" customFormat="1" ht="32.1" customHeight="1" x14ac:dyDescent="0.15">
      <c r="B10" s="55" t="s">
        <v>4</v>
      </c>
      <c r="C10" s="21">
        <f t="shared" si="1"/>
        <v>108151</v>
      </c>
      <c r="D10" s="32">
        <v>47026</v>
      </c>
      <c r="E10" s="32">
        <v>5660</v>
      </c>
      <c r="F10" s="32">
        <v>2275</v>
      </c>
      <c r="G10" s="32">
        <v>10</v>
      </c>
      <c r="H10" s="21">
        <v>2</v>
      </c>
      <c r="I10" s="21">
        <v>137</v>
      </c>
      <c r="J10" s="21">
        <v>7</v>
      </c>
      <c r="K10" s="21">
        <f>1569+1190</f>
        <v>2759</v>
      </c>
      <c r="L10" s="21">
        <v>72</v>
      </c>
      <c r="M10" s="32">
        <v>26743</v>
      </c>
      <c r="N10" s="32">
        <v>1054</v>
      </c>
      <c r="O10" s="32">
        <v>22406</v>
      </c>
    </row>
    <row r="11" spans="2:15" s="10" customFormat="1" ht="32.1" customHeight="1" x14ac:dyDescent="0.15">
      <c r="B11" s="55" t="s">
        <v>5</v>
      </c>
      <c r="C11" s="21">
        <f t="shared" si="1"/>
        <v>105161</v>
      </c>
      <c r="D11" s="32">
        <v>43525</v>
      </c>
      <c r="E11" s="32">
        <f>5614+18</f>
        <v>5632</v>
      </c>
      <c r="F11" s="32">
        <v>2421</v>
      </c>
      <c r="G11" s="32">
        <v>2</v>
      </c>
      <c r="H11" s="21">
        <v>1</v>
      </c>
      <c r="I11" s="21">
        <v>140</v>
      </c>
      <c r="J11" s="21">
        <v>35</v>
      </c>
      <c r="K11" s="21">
        <f>2156+48</f>
        <v>2204</v>
      </c>
      <c r="L11" s="21">
        <v>121</v>
      </c>
      <c r="M11" s="32">
        <v>27743</v>
      </c>
      <c r="N11" s="32">
        <v>826</v>
      </c>
      <c r="O11" s="32">
        <v>22511</v>
      </c>
    </row>
    <row r="12" spans="2:15" s="10" customFormat="1" ht="32.1" customHeight="1" x14ac:dyDescent="0.15">
      <c r="B12" s="55" t="s">
        <v>6</v>
      </c>
      <c r="C12" s="21">
        <f t="shared" si="1"/>
        <v>114220</v>
      </c>
      <c r="D12" s="32">
        <v>53324</v>
      </c>
      <c r="E12" s="32">
        <f>3079+2720</f>
        <v>5799</v>
      </c>
      <c r="F12" s="32">
        <v>2450</v>
      </c>
      <c r="G12" s="32">
        <v>14</v>
      </c>
      <c r="H12" s="21">
        <v>0</v>
      </c>
      <c r="I12" s="21">
        <v>170</v>
      </c>
      <c r="J12" s="21">
        <v>17</v>
      </c>
      <c r="K12" s="21">
        <f>3+1963</f>
        <v>1966</v>
      </c>
      <c r="L12" s="21">
        <v>39</v>
      </c>
      <c r="M12" s="32">
        <v>28894</v>
      </c>
      <c r="N12" s="32">
        <v>743</v>
      </c>
      <c r="O12" s="32">
        <v>20804</v>
      </c>
    </row>
    <row r="13" spans="2:15" s="10" customFormat="1" ht="32.1" customHeight="1" x14ac:dyDescent="0.15">
      <c r="B13" s="55" t="s">
        <v>7</v>
      </c>
      <c r="C13" s="21">
        <f t="shared" si="1"/>
        <v>94694</v>
      </c>
      <c r="D13" s="32">
        <v>37306</v>
      </c>
      <c r="E13" s="32">
        <f>3522+1</f>
        <v>3523</v>
      </c>
      <c r="F13" s="32">
        <v>1953</v>
      </c>
      <c r="G13" s="32">
        <v>14</v>
      </c>
      <c r="H13" s="21"/>
      <c r="I13" s="21">
        <v>85</v>
      </c>
      <c r="J13" s="21">
        <v>50</v>
      </c>
      <c r="K13" s="21">
        <f>1166+891</f>
        <v>2057</v>
      </c>
      <c r="L13" s="21">
        <v>121</v>
      </c>
      <c r="M13" s="32">
        <v>27339</v>
      </c>
      <c r="N13" s="32">
        <v>643</v>
      </c>
      <c r="O13" s="32">
        <v>21603</v>
      </c>
    </row>
    <row r="14" spans="2:15" s="10" customFormat="1" ht="32.1" customHeight="1" x14ac:dyDescent="0.15">
      <c r="B14" s="55" t="s">
        <v>8</v>
      </c>
      <c r="C14" s="21">
        <f t="shared" si="1"/>
        <v>119978</v>
      </c>
      <c r="D14" s="32">
        <v>57531</v>
      </c>
      <c r="E14" s="32">
        <f>5326+1576</f>
        <v>6902</v>
      </c>
      <c r="F14" s="32">
        <v>3772</v>
      </c>
      <c r="G14" s="32">
        <v>24</v>
      </c>
      <c r="H14" s="21">
        <v>7</v>
      </c>
      <c r="I14" s="21">
        <v>487</v>
      </c>
      <c r="J14" s="21">
        <v>65</v>
      </c>
      <c r="K14" s="21">
        <f>2402+1417</f>
        <v>3819</v>
      </c>
      <c r="L14" s="21">
        <v>116</v>
      </c>
      <c r="M14" s="32">
        <v>30352</v>
      </c>
      <c r="N14" s="32">
        <v>1202</v>
      </c>
      <c r="O14" s="32">
        <v>15701</v>
      </c>
    </row>
    <row r="15" spans="2:15" s="10" customFormat="1" ht="32.1" customHeight="1" x14ac:dyDescent="0.15">
      <c r="B15" s="55" t="s">
        <v>9</v>
      </c>
      <c r="C15" s="21">
        <f t="shared" si="1"/>
        <v>92172</v>
      </c>
      <c r="D15" s="32">
        <v>31528</v>
      </c>
      <c r="E15" s="32">
        <f>4210+2256+3</f>
        <v>6469</v>
      </c>
      <c r="F15" s="32">
        <v>2488</v>
      </c>
      <c r="G15" s="32">
        <v>0</v>
      </c>
      <c r="H15" s="21">
        <v>0</v>
      </c>
      <c r="I15" s="21">
        <v>131</v>
      </c>
      <c r="J15" s="21">
        <v>18</v>
      </c>
      <c r="K15" s="21">
        <f>4497+1415</f>
        <v>5912</v>
      </c>
      <c r="L15" s="21">
        <v>108</v>
      </c>
      <c r="M15" s="32">
        <v>23632</v>
      </c>
      <c r="N15" s="32">
        <v>826</v>
      </c>
      <c r="O15" s="32">
        <v>21060</v>
      </c>
    </row>
    <row r="16" spans="2:15" s="10" customFormat="1" ht="32.1" customHeight="1" x14ac:dyDescent="0.15">
      <c r="B16" s="55" t="s">
        <v>10</v>
      </c>
      <c r="C16" s="21">
        <f t="shared" si="1"/>
        <v>119956</v>
      </c>
      <c r="D16" s="32">
        <v>57807</v>
      </c>
      <c r="E16" s="32">
        <f>8004+346+1</f>
        <v>8351</v>
      </c>
      <c r="F16" s="32">
        <v>4035</v>
      </c>
      <c r="G16" s="32">
        <v>7</v>
      </c>
      <c r="H16" s="21">
        <v>14</v>
      </c>
      <c r="I16" s="21">
        <v>362</v>
      </c>
      <c r="J16" s="21">
        <v>32</v>
      </c>
      <c r="K16" s="21">
        <f>1072+1292</f>
        <v>2364</v>
      </c>
      <c r="L16" s="21">
        <v>98</v>
      </c>
      <c r="M16" s="32">
        <v>17950</v>
      </c>
      <c r="N16" s="32">
        <v>655</v>
      </c>
      <c r="O16" s="32">
        <v>28281</v>
      </c>
    </row>
    <row r="17" spans="2:15" s="10" customFormat="1" ht="32.1" customHeight="1" x14ac:dyDescent="0.15">
      <c r="B17" s="55" t="s">
        <v>11</v>
      </c>
      <c r="C17" s="21">
        <v>102539</v>
      </c>
      <c r="D17" s="32">
        <v>44097</v>
      </c>
      <c r="E17" s="32">
        <f>6571+22</f>
        <v>6593</v>
      </c>
      <c r="F17" s="32">
        <v>3665</v>
      </c>
      <c r="G17" s="32">
        <v>27</v>
      </c>
      <c r="H17" s="21">
        <v>0</v>
      </c>
      <c r="I17" s="21">
        <v>165</v>
      </c>
      <c r="J17" s="21">
        <v>21</v>
      </c>
      <c r="K17" s="21">
        <f>58+1543</f>
        <v>1601</v>
      </c>
      <c r="L17" s="21">
        <v>139</v>
      </c>
      <c r="M17" s="32">
        <v>22104</v>
      </c>
      <c r="N17" s="32">
        <v>62</v>
      </c>
      <c r="O17" s="32">
        <v>27788</v>
      </c>
    </row>
  </sheetData>
  <mergeCells count="2">
    <mergeCell ref="B2:O2"/>
    <mergeCell ref="B3:O3"/>
  </mergeCells>
  <phoneticPr fontId="3" type="noConversion"/>
  <pageMargins left="1.1399999999999999" right="0.51181102362204722" top="1.1000000000000001" bottom="0.74803149606299213" header="0.31496062992125984" footer="0.31496062992125984"/>
  <pageSetup paperSize="9" scale="98" fitToWidth="2" fitToHeight="2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7"/>
  <sheetViews>
    <sheetView workbookViewId="0"/>
  </sheetViews>
  <sheetFormatPr defaultRowHeight="13.5" x14ac:dyDescent="0.15"/>
  <cols>
    <col min="1" max="1" width="3.77734375" customWidth="1"/>
    <col min="2" max="2" width="10.109375" customWidth="1"/>
    <col min="3" max="3" width="12.109375" customWidth="1"/>
    <col min="4" max="15" width="10.109375" customWidth="1"/>
  </cols>
  <sheetData>
    <row r="1" spans="2:15" ht="32.1" customHeight="1" x14ac:dyDescent="0.15"/>
    <row r="2" spans="2:15" ht="39.950000000000003" customHeight="1" x14ac:dyDescent="0.15">
      <c r="B2" s="75" t="s">
        <v>224</v>
      </c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</row>
    <row r="3" spans="2:15" ht="32.1" customHeight="1" x14ac:dyDescent="0.15"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</row>
    <row r="4" spans="2:15" s="10" customFormat="1" ht="32.1" customHeight="1" x14ac:dyDescent="0.15">
      <c r="B4" s="52" t="s">
        <v>205</v>
      </c>
      <c r="C4" s="53" t="s">
        <v>14</v>
      </c>
      <c r="D4" s="53" t="s">
        <v>68</v>
      </c>
      <c r="E4" s="53" t="s">
        <v>69</v>
      </c>
      <c r="F4" s="53" t="s">
        <v>62</v>
      </c>
      <c r="G4" s="53" t="s">
        <v>157</v>
      </c>
      <c r="H4" s="53" t="s">
        <v>130</v>
      </c>
      <c r="I4" s="53" t="s">
        <v>177</v>
      </c>
      <c r="J4" s="53" t="s">
        <v>176</v>
      </c>
      <c r="K4" s="53" t="s">
        <v>63</v>
      </c>
      <c r="L4" s="53" t="s">
        <v>160</v>
      </c>
      <c r="M4" s="53" t="s">
        <v>151</v>
      </c>
      <c r="N4" s="53" t="s">
        <v>149</v>
      </c>
      <c r="O4" s="53" t="s">
        <v>150</v>
      </c>
    </row>
    <row r="5" spans="2:15" s="10" customFormat="1" ht="32.1" customHeight="1" x14ac:dyDescent="0.15">
      <c r="B5" s="53" t="s">
        <v>214</v>
      </c>
      <c r="C5" s="54">
        <f>SUM(C6:C17)</f>
        <v>1440117</v>
      </c>
      <c r="D5" s="54">
        <f t="shared" ref="D5:O5" si="0">SUM(D6:D17)</f>
        <v>510718</v>
      </c>
      <c r="E5" s="54">
        <f t="shared" si="0"/>
        <v>39802</v>
      </c>
      <c r="F5" s="54">
        <f t="shared" si="0"/>
        <v>31139</v>
      </c>
      <c r="G5" s="54">
        <f t="shared" si="0"/>
        <v>178</v>
      </c>
      <c r="H5" s="54">
        <f t="shared" si="0"/>
        <v>139</v>
      </c>
      <c r="I5" s="54">
        <f t="shared" si="0"/>
        <v>2790</v>
      </c>
      <c r="J5" s="54">
        <f t="shared" si="0"/>
        <v>412</v>
      </c>
      <c r="K5" s="54">
        <f t="shared" si="0"/>
        <v>21053</v>
      </c>
      <c r="L5" s="54">
        <f t="shared" si="0"/>
        <v>1208</v>
      </c>
      <c r="M5" s="54">
        <f t="shared" si="0"/>
        <v>516954</v>
      </c>
      <c r="N5" s="54">
        <f t="shared" si="0"/>
        <v>17358</v>
      </c>
      <c r="O5" s="54">
        <f t="shared" si="0"/>
        <v>298366</v>
      </c>
    </row>
    <row r="6" spans="2:15" s="10" customFormat="1" ht="32.1" customHeight="1" x14ac:dyDescent="0.15">
      <c r="B6" s="55" t="s">
        <v>0</v>
      </c>
      <c r="C6" s="21">
        <f t="shared" ref="C6:C17" si="1">SUM(D6:O6)</f>
        <v>90828</v>
      </c>
      <c r="D6" s="42">
        <v>38687</v>
      </c>
      <c r="E6" s="42">
        <f>1866+1027+2</f>
        <v>2895</v>
      </c>
      <c r="F6" s="42">
        <v>2716</v>
      </c>
      <c r="G6" s="42">
        <v>0</v>
      </c>
      <c r="H6" s="43">
        <v>0</v>
      </c>
      <c r="I6" s="43">
        <v>125</v>
      </c>
      <c r="J6" s="43">
        <v>36</v>
      </c>
      <c r="K6" s="43">
        <f>46+1066</f>
        <v>1112</v>
      </c>
      <c r="L6" s="43">
        <v>130</v>
      </c>
      <c r="M6" s="42">
        <v>25159</v>
      </c>
      <c r="N6" s="42">
        <v>646</v>
      </c>
      <c r="O6" s="42">
        <v>19322</v>
      </c>
    </row>
    <row r="7" spans="2:15" s="10" customFormat="1" ht="32.1" customHeight="1" x14ac:dyDescent="0.15">
      <c r="B7" s="55" t="s">
        <v>1</v>
      </c>
      <c r="C7" s="21">
        <f t="shared" si="1"/>
        <v>84326</v>
      </c>
      <c r="D7" s="41">
        <v>31637</v>
      </c>
      <c r="E7" s="41">
        <v>3497</v>
      </c>
      <c r="F7" s="41">
        <v>2605</v>
      </c>
      <c r="G7" s="41">
        <v>42</v>
      </c>
      <c r="H7" s="41">
        <v>0</v>
      </c>
      <c r="I7" s="41">
        <v>274</v>
      </c>
      <c r="J7" s="41">
        <v>48</v>
      </c>
      <c r="K7" s="41">
        <f>373+1386</f>
        <v>1759</v>
      </c>
      <c r="L7" s="41">
        <v>144</v>
      </c>
      <c r="M7" s="41">
        <v>25019</v>
      </c>
      <c r="N7" s="41">
        <v>831</v>
      </c>
      <c r="O7" s="41">
        <v>18470</v>
      </c>
    </row>
    <row r="8" spans="2:15" s="10" customFormat="1" ht="32.1" customHeight="1" x14ac:dyDescent="0.15">
      <c r="B8" s="55" t="s">
        <v>2</v>
      </c>
      <c r="C8" s="21">
        <f t="shared" si="1"/>
        <v>133485</v>
      </c>
      <c r="D8" s="32">
        <v>44896</v>
      </c>
      <c r="E8" s="32">
        <f>4799+25</f>
        <v>4824</v>
      </c>
      <c r="F8" s="32">
        <v>1942</v>
      </c>
      <c r="G8" s="32">
        <v>0</v>
      </c>
      <c r="H8" s="21">
        <f>35+11</f>
        <v>46</v>
      </c>
      <c r="I8" s="21">
        <v>357</v>
      </c>
      <c r="J8" s="21">
        <v>28</v>
      </c>
      <c r="K8" s="21">
        <f>665+2941</f>
        <v>3606</v>
      </c>
      <c r="L8" s="21">
        <v>58</v>
      </c>
      <c r="M8" s="32">
        <v>45664</v>
      </c>
      <c r="N8" s="32">
        <v>1842</v>
      </c>
      <c r="O8" s="32">
        <v>30222</v>
      </c>
    </row>
    <row r="9" spans="2:15" s="10" customFormat="1" ht="32.1" customHeight="1" x14ac:dyDescent="0.15">
      <c r="B9" s="55" t="s">
        <v>3</v>
      </c>
      <c r="C9" s="21">
        <f t="shared" si="1"/>
        <v>135007</v>
      </c>
      <c r="D9" s="32">
        <v>47431</v>
      </c>
      <c r="E9" s="32">
        <f>3595+50</f>
        <v>3645</v>
      </c>
      <c r="F9" s="32">
        <v>2580</v>
      </c>
      <c r="G9" s="32">
        <v>31</v>
      </c>
      <c r="H9" s="21">
        <v>10</v>
      </c>
      <c r="I9" s="21">
        <v>133</v>
      </c>
      <c r="J9" s="21">
        <v>9</v>
      </c>
      <c r="K9" s="21">
        <f>63+2933</f>
        <v>2996</v>
      </c>
      <c r="L9" s="21">
        <v>136</v>
      </c>
      <c r="M9" s="32">
        <v>51716</v>
      </c>
      <c r="N9" s="32">
        <v>1027</v>
      </c>
      <c r="O9" s="32">
        <v>25293</v>
      </c>
    </row>
    <row r="10" spans="2:15" s="10" customFormat="1" ht="32.1" customHeight="1" x14ac:dyDescent="0.15">
      <c r="B10" s="55" t="s">
        <v>4</v>
      </c>
      <c r="C10" s="21">
        <f t="shared" si="1"/>
        <v>129776</v>
      </c>
      <c r="D10" s="32">
        <v>43227</v>
      </c>
      <c r="E10" s="32">
        <f>3803+13</f>
        <v>3816</v>
      </c>
      <c r="F10" s="32">
        <v>2879</v>
      </c>
      <c r="G10" s="32">
        <v>20</v>
      </c>
      <c r="H10" s="21">
        <v>6</v>
      </c>
      <c r="I10" s="21">
        <v>126</v>
      </c>
      <c r="J10" s="21">
        <v>17</v>
      </c>
      <c r="K10" s="21">
        <f>2+1891</f>
        <v>1893</v>
      </c>
      <c r="L10" s="21">
        <v>83</v>
      </c>
      <c r="M10" s="32">
        <v>45550</v>
      </c>
      <c r="N10" s="32">
        <v>869</v>
      </c>
      <c r="O10" s="32">
        <v>31290</v>
      </c>
    </row>
    <row r="11" spans="2:15" s="10" customFormat="1" ht="32.1" customHeight="1" x14ac:dyDescent="0.15">
      <c r="B11" s="55" t="s">
        <v>5</v>
      </c>
      <c r="C11" s="21">
        <f t="shared" si="1"/>
        <v>134443</v>
      </c>
      <c r="D11" s="32">
        <v>47780</v>
      </c>
      <c r="E11" s="32">
        <f>1674+4</f>
        <v>1678</v>
      </c>
      <c r="F11" s="32">
        <v>2830</v>
      </c>
      <c r="G11" s="32">
        <v>55</v>
      </c>
      <c r="H11" s="21">
        <f>10+63</f>
        <v>73</v>
      </c>
      <c r="I11" s="21">
        <v>191</v>
      </c>
      <c r="J11" s="21">
        <v>16</v>
      </c>
      <c r="K11" s="21">
        <f>139+2371</f>
        <v>2510</v>
      </c>
      <c r="L11" s="21">
        <v>77</v>
      </c>
      <c r="M11" s="32">
        <v>51008</v>
      </c>
      <c r="N11" s="32">
        <v>1434</v>
      </c>
      <c r="O11" s="32">
        <v>26791</v>
      </c>
    </row>
    <row r="12" spans="2:15" s="10" customFormat="1" ht="32.1" customHeight="1" x14ac:dyDescent="0.15">
      <c r="B12" s="55" t="s">
        <v>6</v>
      </c>
      <c r="C12" s="21">
        <f t="shared" si="1"/>
        <v>125816</v>
      </c>
      <c r="D12" s="32">
        <v>43246</v>
      </c>
      <c r="E12" s="32">
        <f>2668+40</f>
        <v>2708</v>
      </c>
      <c r="F12" s="32">
        <v>2696</v>
      </c>
      <c r="G12" s="32">
        <v>9</v>
      </c>
      <c r="H12" s="21">
        <v>0</v>
      </c>
      <c r="I12" s="21">
        <v>186</v>
      </c>
      <c r="J12" s="21">
        <v>8</v>
      </c>
      <c r="K12" s="21">
        <f>13+2513</f>
        <v>2526</v>
      </c>
      <c r="L12" s="21">
        <v>46</v>
      </c>
      <c r="M12" s="32">
        <v>42303</v>
      </c>
      <c r="N12" s="32">
        <v>1738</v>
      </c>
      <c r="O12" s="32">
        <v>30350</v>
      </c>
    </row>
    <row r="13" spans="2:15" s="10" customFormat="1" ht="32.1" customHeight="1" x14ac:dyDescent="0.15">
      <c r="B13" s="55" t="s">
        <v>7</v>
      </c>
      <c r="C13" s="21">
        <f t="shared" si="1"/>
        <v>101954</v>
      </c>
      <c r="D13" s="32">
        <v>31326</v>
      </c>
      <c r="E13" s="32">
        <f>2559+19</f>
        <v>2578</v>
      </c>
      <c r="F13" s="32">
        <v>1821</v>
      </c>
      <c r="G13" s="32">
        <v>1</v>
      </c>
      <c r="H13" s="21">
        <v>0</v>
      </c>
      <c r="I13" s="21">
        <v>242</v>
      </c>
      <c r="J13" s="21">
        <v>38</v>
      </c>
      <c r="K13" s="21">
        <v>60</v>
      </c>
      <c r="L13" s="21">
        <v>28</v>
      </c>
      <c r="M13" s="32">
        <v>44252</v>
      </c>
      <c r="N13" s="32">
        <v>1920</v>
      </c>
      <c r="O13" s="32">
        <v>19688</v>
      </c>
    </row>
    <row r="14" spans="2:15" s="10" customFormat="1" ht="32.1" customHeight="1" x14ac:dyDescent="0.15">
      <c r="B14" s="55" t="s">
        <v>8</v>
      </c>
      <c r="C14" s="21">
        <f t="shared" si="1"/>
        <v>110551</v>
      </c>
      <c r="D14" s="32">
        <v>33438</v>
      </c>
      <c r="E14" s="32">
        <f>4688+80</f>
        <v>4768</v>
      </c>
      <c r="F14" s="32">
        <v>1727</v>
      </c>
      <c r="G14" s="32">
        <v>5</v>
      </c>
      <c r="H14" s="21">
        <v>0</v>
      </c>
      <c r="I14" s="21">
        <v>276</v>
      </c>
      <c r="J14" s="21">
        <v>27</v>
      </c>
      <c r="K14" s="21">
        <v>32</v>
      </c>
      <c r="L14" s="21">
        <v>137</v>
      </c>
      <c r="M14" s="32">
        <v>40423</v>
      </c>
      <c r="N14" s="32">
        <v>1667</v>
      </c>
      <c r="O14" s="32">
        <v>28051</v>
      </c>
    </row>
    <row r="15" spans="2:15" s="10" customFormat="1" ht="32.1" customHeight="1" x14ac:dyDescent="0.15">
      <c r="B15" s="55" t="s">
        <v>9</v>
      </c>
      <c r="C15" s="21">
        <f t="shared" si="1"/>
        <v>130410</v>
      </c>
      <c r="D15" s="32">
        <v>47270</v>
      </c>
      <c r="E15" s="32">
        <f>11+3944</f>
        <v>3955</v>
      </c>
      <c r="F15" s="32">
        <v>3132</v>
      </c>
      <c r="G15" s="32">
        <v>5</v>
      </c>
      <c r="H15" s="21">
        <v>0</v>
      </c>
      <c r="I15" s="21">
        <v>278</v>
      </c>
      <c r="J15" s="21">
        <v>52</v>
      </c>
      <c r="K15" s="21">
        <v>1095</v>
      </c>
      <c r="L15" s="21">
        <v>125</v>
      </c>
      <c r="M15" s="32">
        <v>45180</v>
      </c>
      <c r="N15" s="32">
        <v>2322</v>
      </c>
      <c r="O15" s="32">
        <v>26996</v>
      </c>
    </row>
    <row r="16" spans="2:15" s="10" customFormat="1" ht="32.1" customHeight="1" x14ac:dyDescent="0.15">
      <c r="B16" s="55" t="s">
        <v>10</v>
      </c>
      <c r="C16" s="21">
        <f t="shared" si="1"/>
        <v>133961</v>
      </c>
      <c r="D16" s="32">
        <v>51047</v>
      </c>
      <c r="E16" s="32">
        <f>3749+3</f>
        <v>3752</v>
      </c>
      <c r="F16" s="32">
        <v>3321</v>
      </c>
      <c r="G16" s="32">
        <v>10</v>
      </c>
      <c r="H16" s="21">
        <v>4</v>
      </c>
      <c r="I16" s="21">
        <v>320</v>
      </c>
      <c r="J16" s="21">
        <v>86</v>
      </c>
      <c r="K16" s="21">
        <v>907</v>
      </c>
      <c r="L16" s="21">
        <v>155</v>
      </c>
      <c r="M16" s="32">
        <v>48687</v>
      </c>
      <c r="N16" s="32">
        <v>1132</v>
      </c>
      <c r="O16" s="32">
        <v>24540</v>
      </c>
    </row>
    <row r="17" spans="2:15" s="10" customFormat="1" ht="32.1" customHeight="1" x14ac:dyDescent="0.15">
      <c r="B17" s="55" t="s">
        <v>11</v>
      </c>
      <c r="C17" s="21">
        <f t="shared" si="1"/>
        <v>129560</v>
      </c>
      <c r="D17" s="32">
        <v>50733</v>
      </c>
      <c r="E17" s="32">
        <f>1685+1</f>
        <v>1686</v>
      </c>
      <c r="F17" s="32">
        <v>2890</v>
      </c>
      <c r="G17" s="32">
        <v>0</v>
      </c>
      <c r="H17" s="21">
        <v>0</v>
      </c>
      <c r="I17" s="21">
        <v>282</v>
      </c>
      <c r="J17" s="21">
        <v>47</v>
      </c>
      <c r="K17" s="21">
        <f>158+2399</f>
        <v>2557</v>
      </c>
      <c r="L17" s="21">
        <v>89</v>
      </c>
      <c r="M17" s="32">
        <v>51993</v>
      </c>
      <c r="N17" s="32">
        <v>1930</v>
      </c>
      <c r="O17" s="32">
        <v>17353</v>
      </c>
    </row>
  </sheetData>
  <mergeCells count="2">
    <mergeCell ref="B2:O2"/>
    <mergeCell ref="B3:O3"/>
  </mergeCells>
  <phoneticPr fontId="3" type="noConversion"/>
  <pageMargins left="1.1399999999999999" right="0.51181102362204722" top="1.1000000000000001" bottom="0.74803149606299213" header="0.31496062992125984" footer="0.31496062992125984"/>
  <pageSetup paperSize="9" scale="98" fitToWidth="2" fitToHeight="2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7"/>
  <sheetViews>
    <sheetView workbookViewId="0"/>
  </sheetViews>
  <sheetFormatPr defaultRowHeight="13.5" x14ac:dyDescent="0.15"/>
  <cols>
    <col min="1" max="1" width="3.77734375" customWidth="1"/>
    <col min="2" max="2" width="10.109375" customWidth="1"/>
    <col min="3" max="3" width="12.109375" customWidth="1"/>
    <col min="4" max="15" width="10.109375" customWidth="1"/>
  </cols>
  <sheetData>
    <row r="1" spans="2:15" ht="32.1" customHeight="1" x14ac:dyDescent="0.15"/>
    <row r="2" spans="2:15" ht="39.950000000000003" customHeight="1" x14ac:dyDescent="0.15">
      <c r="B2" s="75" t="s">
        <v>225</v>
      </c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</row>
    <row r="3" spans="2:15" ht="32.1" customHeight="1" x14ac:dyDescent="0.15"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</row>
    <row r="4" spans="2:15" s="10" customFormat="1" ht="32.1" customHeight="1" x14ac:dyDescent="0.15">
      <c r="B4" s="52" t="s">
        <v>205</v>
      </c>
      <c r="C4" s="53" t="s">
        <v>204</v>
      </c>
      <c r="D4" s="53" t="s">
        <v>203</v>
      </c>
      <c r="E4" s="53" t="s">
        <v>202</v>
      </c>
      <c r="F4" s="53" t="s">
        <v>201</v>
      </c>
      <c r="G4" s="53" t="s">
        <v>200</v>
      </c>
      <c r="H4" s="53" t="s">
        <v>199</v>
      </c>
      <c r="I4" s="53" t="s">
        <v>198</v>
      </c>
      <c r="J4" s="53" t="s">
        <v>197</v>
      </c>
      <c r="K4" s="53" t="s">
        <v>196</v>
      </c>
      <c r="L4" s="53" t="s">
        <v>195</v>
      </c>
      <c r="M4" s="53" t="s">
        <v>194</v>
      </c>
      <c r="N4" s="53" t="s">
        <v>193</v>
      </c>
      <c r="O4" s="53" t="s">
        <v>192</v>
      </c>
    </row>
    <row r="5" spans="2:15" s="10" customFormat="1" ht="32.1" customHeight="1" x14ac:dyDescent="0.15">
      <c r="B5" s="53" t="s">
        <v>212</v>
      </c>
      <c r="C5" s="54">
        <f>SUM(C6:C17)</f>
        <v>1523131</v>
      </c>
      <c r="D5" s="54">
        <f t="shared" ref="D5:O5" si="0">SUM(D6:D17)</f>
        <v>535554</v>
      </c>
      <c r="E5" s="54">
        <f t="shared" si="0"/>
        <v>27453</v>
      </c>
      <c r="F5" s="54">
        <f t="shared" si="0"/>
        <v>25449</v>
      </c>
      <c r="G5" s="54">
        <f t="shared" si="0"/>
        <v>129</v>
      </c>
      <c r="H5" s="54">
        <f t="shared" si="0"/>
        <v>224</v>
      </c>
      <c r="I5" s="54">
        <f t="shared" si="0"/>
        <v>3313</v>
      </c>
      <c r="J5" s="54">
        <f t="shared" si="0"/>
        <v>449</v>
      </c>
      <c r="K5" s="54">
        <f t="shared" si="0"/>
        <v>30543</v>
      </c>
      <c r="L5" s="54">
        <f t="shared" si="0"/>
        <v>931</v>
      </c>
      <c r="M5" s="54">
        <f t="shared" si="0"/>
        <v>628127</v>
      </c>
      <c r="N5" s="54">
        <f t="shared" si="0"/>
        <v>17646</v>
      </c>
      <c r="O5" s="54">
        <f t="shared" si="0"/>
        <v>253313</v>
      </c>
    </row>
    <row r="6" spans="2:15" s="10" customFormat="1" ht="32.1" customHeight="1" x14ac:dyDescent="0.15">
      <c r="B6" s="55" t="s">
        <v>191</v>
      </c>
      <c r="C6" s="21">
        <f t="shared" ref="C6:C17" si="1">SUM(D6:O6)</f>
        <v>123195</v>
      </c>
      <c r="D6" s="44">
        <v>46235</v>
      </c>
      <c r="E6" s="44">
        <f>2614+84</f>
        <v>2698</v>
      </c>
      <c r="F6" s="44">
        <v>2806</v>
      </c>
      <c r="G6" s="44">
        <v>19</v>
      </c>
      <c r="H6" s="43">
        <f>53+53</f>
        <v>106</v>
      </c>
      <c r="I6" s="43">
        <v>381</v>
      </c>
      <c r="J6" s="43">
        <v>46</v>
      </c>
      <c r="K6" s="43">
        <f>354+4402</f>
        <v>4756</v>
      </c>
      <c r="L6" s="43">
        <v>178</v>
      </c>
      <c r="M6" s="44">
        <v>46274</v>
      </c>
      <c r="N6" s="44">
        <v>1461</v>
      </c>
      <c r="O6" s="44">
        <v>18235</v>
      </c>
    </row>
    <row r="7" spans="2:15" s="10" customFormat="1" ht="32.1" customHeight="1" x14ac:dyDescent="0.15">
      <c r="B7" s="55" t="s">
        <v>1</v>
      </c>
      <c r="C7" s="21">
        <f t="shared" si="1"/>
        <v>89794</v>
      </c>
      <c r="D7" s="45">
        <v>37252</v>
      </c>
      <c r="E7" s="45">
        <f>2052+214</f>
        <v>2266</v>
      </c>
      <c r="F7" s="45">
        <v>1714</v>
      </c>
      <c r="G7" s="45">
        <v>12</v>
      </c>
      <c r="H7" s="45">
        <v>5</v>
      </c>
      <c r="I7" s="45">
        <v>198</v>
      </c>
      <c r="J7" s="45">
        <v>38</v>
      </c>
      <c r="K7" s="45">
        <f>1037+1612</f>
        <v>2649</v>
      </c>
      <c r="L7" s="45">
        <v>49</v>
      </c>
      <c r="M7" s="45">
        <v>31839</v>
      </c>
      <c r="N7" s="45">
        <v>1850</v>
      </c>
      <c r="O7" s="45">
        <v>11922</v>
      </c>
    </row>
    <row r="8" spans="2:15" s="10" customFormat="1" ht="32.1" customHeight="1" x14ac:dyDescent="0.15">
      <c r="B8" s="55" t="s">
        <v>190</v>
      </c>
      <c r="C8" s="21">
        <f t="shared" si="1"/>
        <v>127463</v>
      </c>
      <c r="D8" s="46">
        <v>43242</v>
      </c>
      <c r="E8" s="46">
        <f>886+18</f>
        <v>904</v>
      </c>
      <c r="F8" s="46">
        <v>3494</v>
      </c>
      <c r="G8" s="46">
        <v>27</v>
      </c>
      <c r="H8" s="21">
        <f>42+15</f>
        <v>57</v>
      </c>
      <c r="I8" s="21">
        <v>252</v>
      </c>
      <c r="J8" s="21">
        <v>5</v>
      </c>
      <c r="K8" s="21">
        <f>808+1248</f>
        <v>2056</v>
      </c>
      <c r="L8" s="21">
        <v>122</v>
      </c>
      <c r="M8" s="46">
        <v>54496</v>
      </c>
      <c r="N8" s="46">
        <v>1573</v>
      </c>
      <c r="O8" s="46">
        <v>21235</v>
      </c>
    </row>
    <row r="9" spans="2:15" s="10" customFormat="1" ht="32.1" customHeight="1" x14ac:dyDescent="0.15">
      <c r="B9" s="55" t="s">
        <v>189</v>
      </c>
      <c r="C9" s="21">
        <f t="shared" si="1"/>
        <v>131000</v>
      </c>
      <c r="D9" s="47">
        <v>47144</v>
      </c>
      <c r="E9" s="47">
        <f>370+48</f>
        <v>418</v>
      </c>
      <c r="F9" s="47">
        <v>1965</v>
      </c>
      <c r="G9" s="48">
        <v>31</v>
      </c>
      <c r="H9" s="48">
        <v>32</v>
      </c>
      <c r="I9" s="48">
        <v>383</v>
      </c>
      <c r="J9" s="48">
        <v>35</v>
      </c>
      <c r="K9" s="49">
        <f>154+1640</f>
        <v>1794</v>
      </c>
      <c r="L9" s="21">
        <v>78</v>
      </c>
      <c r="M9" s="47">
        <v>54217</v>
      </c>
      <c r="N9" s="48">
        <v>1521</v>
      </c>
      <c r="O9" s="48">
        <v>23382</v>
      </c>
    </row>
    <row r="10" spans="2:15" s="10" customFormat="1" ht="32.1" customHeight="1" x14ac:dyDescent="0.15">
      <c r="B10" s="55" t="s">
        <v>188</v>
      </c>
      <c r="C10" s="21">
        <f t="shared" si="1"/>
        <v>134531</v>
      </c>
      <c r="D10" s="32">
        <v>49913</v>
      </c>
      <c r="E10" s="32">
        <f>511+40</f>
        <v>551</v>
      </c>
      <c r="F10" s="32">
        <v>1834</v>
      </c>
      <c r="G10" s="32">
        <v>2</v>
      </c>
      <c r="H10" s="21">
        <v>0</v>
      </c>
      <c r="I10" s="21">
        <v>210</v>
      </c>
      <c r="J10" s="21">
        <v>26</v>
      </c>
      <c r="K10" s="21">
        <f>349+1799</f>
        <v>2148</v>
      </c>
      <c r="L10" s="21">
        <v>34</v>
      </c>
      <c r="M10" s="32">
        <v>53929</v>
      </c>
      <c r="N10" s="32">
        <v>1596</v>
      </c>
      <c r="O10" s="32">
        <v>24288</v>
      </c>
    </row>
    <row r="11" spans="2:15" s="10" customFormat="1" ht="32.1" customHeight="1" x14ac:dyDescent="0.15">
      <c r="B11" s="55" t="s">
        <v>187</v>
      </c>
      <c r="C11" s="21">
        <f t="shared" si="1"/>
        <v>138387</v>
      </c>
      <c r="D11" s="32">
        <v>46984</v>
      </c>
      <c r="E11" s="32">
        <f>654+27</f>
        <v>681</v>
      </c>
      <c r="F11" s="32">
        <v>1851</v>
      </c>
      <c r="G11" s="32">
        <v>4</v>
      </c>
      <c r="H11" s="21">
        <v>9</v>
      </c>
      <c r="I11" s="21">
        <v>155</v>
      </c>
      <c r="J11" s="21">
        <v>56</v>
      </c>
      <c r="K11" s="21">
        <f>235+3593</f>
        <v>3828</v>
      </c>
      <c r="L11" s="21">
        <v>113</v>
      </c>
      <c r="M11" s="32">
        <v>62438</v>
      </c>
      <c r="N11" s="32">
        <v>922</v>
      </c>
      <c r="O11" s="32">
        <v>21346</v>
      </c>
    </row>
    <row r="12" spans="2:15" s="10" customFormat="1" ht="32.1" customHeight="1" x14ac:dyDescent="0.15">
      <c r="B12" s="55" t="s">
        <v>186</v>
      </c>
      <c r="C12" s="21">
        <f t="shared" si="1"/>
        <v>147199</v>
      </c>
      <c r="D12" s="32">
        <v>48902</v>
      </c>
      <c r="E12" s="32">
        <f>4569+45</f>
        <v>4614</v>
      </c>
      <c r="F12" s="32">
        <v>1584</v>
      </c>
      <c r="G12" s="32">
        <v>8</v>
      </c>
      <c r="H12" s="21">
        <v>0</v>
      </c>
      <c r="I12" s="21">
        <v>323</v>
      </c>
      <c r="J12" s="21">
        <v>33</v>
      </c>
      <c r="K12" s="21">
        <f>469+10+3356</f>
        <v>3835</v>
      </c>
      <c r="L12" s="21">
        <v>20</v>
      </c>
      <c r="M12" s="32">
        <v>59832</v>
      </c>
      <c r="N12" s="32">
        <v>1451</v>
      </c>
      <c r="O12" s="32">
        <v>26597</v>
      </c>
    </row>
    <row r="13" spans="2:15" s="10" customFormat="1" ht="32.1" customHeight="1" x14ac:dyDescent="0.15">
      <c r="B13" s="55" t="s">
        <v>185</v>
      </c>
      <c r="C13" s="21">
        <f t="shared" si="1"/>
        <v>133053</v>
      </c>
      <c r="D13" s="32">
        <f>'[1]2019'!$K$3</f>
        <v>37484</v>
      </c>
      <c r="E13" s="32">
        <f>'[1]2019'!$K$4+'[1]2019'!$K$11</f>
        <v>3600</v>
      </c>
      <c r="F13" s="32">
        <f>'[1]2019'!$K$5</f>
        <v>1491</v>
      </c>
      <c r="G13" s="32">
        <f>'[1]2019'!$K$10</f>
        <v>2</v>
      </c>
      <c r="H13" s="21">
        <f>'[1]2019'!$K$12</f>
        <v>1</v>
      </c>
      <c r="I13" s="21">
        <f>'[1]2019'!$K$13</f>
        <v>273</v>
      </c>
      <c r="J13" s="21">
        <f>'[1]2019'!$K$14</f>
        <v>23</v>
      </c>
      <c r="K13" s="21">
        <f>'[1]2019'!$K$8+'[1]2019'!$K$15+'[1]2019'!$K$47</f>
        <v>1454</v>
      </c>
      <c r="L13" s="21">
        <f>'[1]2019'!$K$18</f>
        <v>85</v>
      </c>
      <c r="M13" s="32">
        <f>'[1]2019'!$K$46</f>
        <v>65858</v>
      </c>
      <c r="N13" s="32">
        <f>'[1]2019'!$K$17</f>
        <v>1337</v>
      </c>
      <c r="O13" s="32">
        <f>'[1]2019'!$K$44</f>
        <v>21445</v>
      </c>
    </row>
    <row r="14" spans="2:15" s="10" customFormat="1" ht="32.1" customHeight="1" x14ac:dyDescent="0.15">
      <c r="B14" s="55" t="s">
        <v>184</v>
      </c>
      <c r="C14" s="21">
        <f t="shared" si="1"/>
        <v>115705</v>
      </c>
      <c r="D14" s="32">
        <f>'[2]2019'!$L$3</f>
        <v>41443</v>
      </c>
      <c r="E14" s="32">
        <f>'[2]2019'!$L$4+'[2]2019'!$L$11</f>
        <v>3594</v>
      </c>
      <c r="F14" s="32">
        <f>'[2]2019'!$L$5</f>
        <v>3387</v>
      </c>
      <c r="G14" s="32">
        <f>'[2]2019'!$L$10</f>
        <v>6</v>
      </c>
      <c r="H14" s="21">
        <f>'[2]2019'!$L$12</f>
        <v>0</v>
      </c>
      <c r="I14" s="21">
        <f>'[2]2019'!$L$13</f>
        <v>143</v>
      </c>
      <c r="J14" s="21">
        <f>'[2]2019'!$L$14</f>
        <v>36</v>
      </c>
      <c r="K14" s="21">
        <f>'[2]2019'!$L$8+'[2]2019'!$L$15+'[2]2019'!$L$47</f>
        <v>1379</v>
      </c>
      <c r="L14" s="21">
        <f>'[2]2019'!$L$18</f>
        <v>51</v>
      </c>
      <c r="M14" s="32">
        <f>'[2]2019'!$L$46</f>
        <v>44174</v>
      </c>
      <c r="N14" s="32">
        <f>'[2]2019'!$L$17</f>
        <v>1040</v>
      </c>
      <c r="O14" s="32">
        <f>'[2]2019'!$L$44</f>
        <v>20452</v>
      </c>
    </row>
    <row r="15" spans="2:15" s="10" customFormat="1" ht="32.1" customHeight="1" x14ac:dyDescent="0.15">
      <c r="B15" s="55" t="s">
        <v>183</v>
      </c>
      <c r="C15" s="21">
        <f t="shared" si="1"/>
        <v>134194</v>
      </c>
      <c r="D15" s="32">
        <f>'[2]2019'!$M$3</f>
        <v>45259</v>
      </c>
      <c r="E15" s="32">
        <f>'[3]2019'!$M$4+'[3]2019'!$M$11</f>
        <v>4022</v>
      </c>
      <c r="F15" s="32">
        <f>'[3]2019'!$M$5</f>
        <v>1897</v>
      </c>
      <c r="G15" s="32">
        <f>'[3]2019'!$M$10</f>
        <v>11</v>
      </c>
      <c r="H15" s="21">
        <f>'[3]2019'!$M$12+'[3]2019'!$M$6+'[3]2019'!$M$7</f>
        <v>8</v>
      </c>
      <c r="I15" s="21">
        <f>'[3]2019'!$M$13</f>
        <v>343</v>
      </c>
      <c r="J15" s="21">
        <f>'[3]2019'!$M$14</f>
        <v>59</v>
      </c>
      <c r="K15" s="21">
        <f>'[3]2019'!$M$8+'[3]2019'!$M$15+'[3]2019'!$M$47</f>
        <v>2475</v>
      </c>
      <c r="L15" s="21">
        <f>'[3]2019'!$M$18</f>
        <v>81</v>
      </c>
      <c r="M15" s="32">
        <f>'[3]2019'!$M$46</f>
        <v>58709</v>
      </c>
      <c r="N15" s="32">
        <f>'[3]2019'!$M$17</f>
        <v>1508</v>
      </c>
      <c r="O15" s="32">
        <f>'[3]2019'!$M$44</f>
        <v>19822</v>
      </c>
    </row>
    <row r="16" spans="2:15" s="10" customFormat="1" ht="32.1" customHeight="1" x14ac:dyDescent="0.15">
      <c r="B16" s="55" t="s">
        <v>182</v>
      </c>
      <c r="C16" s="21">
        <f t="shared" si="1"/>
        <v>126066</v>
      </c>
      <c r="D16" s="32">
        <f>'[4]2019'!$N$3</f>
        <v>49123</v>
      </c>
      <c r="E16" s="32">
        <f>'[4]2019'!$N$4+'[4]2019'!$N$11</f>
        <v>1601</v>
      </c>
      <c r="F16" s="32">
        <f>'[4]2019'!$N$5</f>
        <v>1316</v>
      </c>
      <c r="G16" s="32">
        <f>'[4]2019'!$N$10</f>
        <v>7</v>
      </c>
      <c r="H16" s="21">
        <f>'[4]2019'!$N$12+'[4]2019'!$N$6+'[4]2019'!$N$7</f>
        <v>0</v>
      </c>
      <c r="I16" s="21">
        <f>'[4]2019'!$N$13</f>
        <v>364</v>
      </c>
      <c r="J16" s="21">
        <f>'[4]2019'!$N$14</f>
        <v>63</v>
      </c>
      <c r="K16" s="21">
        <f>'[4]2019'!$N$8+'[4]2019'!$N$15+'[4]2019'!$N$47</f>
        <v>1084</v>
      </c>
      <c r="L16" s="21">
        <f>'[4]2019'!$N$18</f>
        <v>45</v>
      </c>
      <c r="M16" s="32">
        <f>'[4]2019'!$N$46</f>
        <v>50047</v>
      </c>
      <c r="N16" s="32">
        <f>'[4]2019'!$N$17</f>
        <v>2029</v>
      </c>
      <c r="O16" s="32">
        <f>'[4]2019'!$N$44</f>
        <v>20387</v>
      </c>
    </row>
    <row r="17" spans="2:15" s="10" customFormat="1" ht="32.1" customHeight="1" x14ac:dyDescent="0.15">
      <c r="B17" s="55" t="s">
        <v>181</v>
      </c>
      <c r="C17" s="21">
        <f t="shared" si="1"/>
        <v>122544</v>
      </c>
      <c r="D17" s="32">
        <f>'[5]2019'!$O$3</f>
        <v>42573</v>
      </c>
      <c r="E17" s="32">
        <f>'[5]2019'!$O$4+'[5]2019'!$O$11</f>
        <v>2504</v>
      </c>
      <c r="F17" s="32">
        <f>'[5]2019'!$O$5</f>
        <v>2110</v>
      </c>
      <c r="G17" s="32">
        <f>'[5]2019'!$O$10</f>
        <v>0</v>
      </c>
      <c r="H17" s="21">
        <f>'[5]2019'!$O$12+'[5]2019'!$O$6+'[5]2019'!$O$7</f>
        <v>6</v>
      </c>
      <c r="I17" s="21">
        <f>'[5]2019'!$O$13</f>
        <v>288</v>
      </c>
      <c r="J17" s="21">
        <f>'[5]2019'!$O$14</f>
        <v>29</v>
      </c>
      <c r="K17" s="21">
        <f>'[5]2019'!$O$8+'[5]2019'!$O$15+'[5]2019'!$O$47</f>
        <v>3085</v>
      </c>
      <c r="L17" s="21">
        <f>'[5]2019'!$O$18</f>
        <v>75</v>
      </c>
      <c r="M17" s="32">
        <f>'[5]2019'!$O$46</f>
        <v>46314</v>
      </c>
      <c r="N17" s="32">
        <f>'[5]2019'!$O$17</f>
        <v>1358</v>
      </c>
      <c r="O17" s="32">
        <f>'[5]2019'!$O$44</f>
        <v>24202</v>
      </c>
    </row>
  </sheetData>
  <mergeCells count="2">
    <mergeCell ref="B2:O2"/>
    <mergeCell ref="B3:O3"/>
  </mergeCells>
  <phoneticPr fontId="3" type="noConversion"/>
  <pageMargins left="1.1417322834645669" right="0.51181102362204722" top="1.1023622047244095" bottom="0.74803149606299213" header="0.31496062992125984" footer="0.31496062992125984"/>
  <pageSetup paperSize="9" scale="80" fitToWidth="2" fitToHeight="2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7"/>
  <sheetViews>
    <sheetView workbookViewId="0"/>
  </sheetViews>
  <sheetFormatPr defaultRowHeight="13.5" x14ac:dyDescent="0.15"/>
  <cols>
    <col min="1" max="1" width="3.77734375" customWidth="1"/>
    <col min="2" max="2" width="10.109375" customWidth="1"/>
    <col min="3" max="3" width="12.109375" customWidth="1"/>
    <col min="4" max="4" width="10.88671875" bestFit="1" customWidth="1"/>
    <col min="5" max="5" width="8.88671875" bestFit="1" customWidth="1"/>
    <col min="6" max="6" width="10.33203125" customWidth="1"/>
    <col min="7" max="10" width="7.5546875" customWidth="1"/>
    <col min="11" max="11" width="9.6640625" bestFit="1" customWidth="1"/>
    <col min="12" max="12" width="7.5546875" customWidth="1"/>
    <col min="13" max="13" width="10.88671875" bestFit="1" customWidth="1"/>
    <col min="14" max="14" width="9.6640625" customWidth="1"/>
    <col min="15" max="15" width="10.88671875" customWidth="1"/>
  </cols>
  <sheetData>
    <row r="1" spans="2:15" ht="32.1" customHeight="1" x14ac:dyDescent="0.15"/>
    <row r="2" spans="2:15" ht="39.950000000000003" customHeight="1" x14ac:dyDescent="0.15">
      <c r="B2" s="75" t="s">
        <v>226</v>
      </c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</row>
    <row r="3" spans="2:15" ht="32.1" customHeight="1" x14ac:dyDescent="0.15"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</row>
    <row r="4" spans="2:15" s="10" customFormat="1" ht="32.1" customHeight="1" x14ac:dyDescent="0.15">
      <c r="B4" s="52" t="s">
        <v>205</v>
      </c>
      <c r="C4" s="53" t="s">
        <v>14</v>
      </c>
      <c r="D4" s="53" t="s">
        <v>68</v>
      </c>
      <c r="E4" s="53" t="s">
        <v>69</v>
      </c>
      <c r="F4" s="53" t="s">
        <v>62</v>
      </c>
      <c r="G4" s="53" t="s">
        <v>157</v>
      </c>
      <c r="H4" s="53" t="s">
        <v>130</v>
      </c>
      <c r="I4" s="53" t="s">
        <v>177</v>
      </c>
      <c r="J4" s="53" t="s">
        <v>176</v>
      </c>
      <c r="K4" s="53" t="s">
        <v>63</v>
      </c>
      <c r="L4" s="53" t="s">
        <v>160</v>
      </c>
      <c r="M4" s="53" t="s">
        <v>151</v>
      </c>
      <c r="N4" s="53" t="s">
        <v>149</v>
      </c>
      <c r="O4" s="53" t="s">
        <v>150</v>
      </c>
    </row>
    <row r="5" spans="2:15" s="10" customFormat="1" ht="32.1" customHeight="1" x14ac:dyDescent="0.15">
      <c r="B5" s="53" t="s">
        <v>210</v>
      </c>
      <c r="C5" s="54">
        <f>SUM(C6:C17)</f>
        <v>1260128</v>
      </c>
      <c r="D5" s="54">
        <f t="shared" ref="D5:O5" si="0">SUM(D6:D17)</f>
        <v>400832</v>
      </c>
      <c r="E5" s="54">
        <f t="shared" si="0"/>
        <v>21575</v>
      </c>
      <c r="F5" s="54">
        <f t="shared" si="0"/>
        <v>18007</v>
      </c>
      <c r="G5" s="54">
        <f t="shared" si="0"/>
        <v>99</v>
      </c>
      <c r="H5" s="54">
        <f t="shared" si="0"/>
        <v>72</v>
      </c>
      <c r="I5" s="54">
        <f t="shared" si="0"/>
        <v>2990</v>
      </c>
      <c r="J5" s="54">
        <f t="shared" si="0"/>
        <v>806</v>
      </c>
      <c r="K5" s="54">
        <f t="shared" si="0"/>
        <v>19603</v>
      </c>
      <c r="L5" s="54">
        <f t="shared" si="0"/>
        <v>1298</v>
      </c>
      <c r="M5" s="54">
        <f t="shared" si="0"/>
        <v>487528</v>
      </c>
      <c r="N5" s="54">
        <f t="shared" si="0"/>
        <v>13121</v>
      </c>
      <c r="O5" s="54">
        <f t="shared" si="0"/>
        <v>294197</v>
      </c>
    </row>
    <row r="6" spans="2:15" s="10" customFormat="1" ht="32.1" customHeight="1" x14ac:dyDescent="0.15">
      <c r="B6" s="55" t="s">
        <v>0</v>
      </c>
      <c r="C6" s="21">
        <f>SUM(D6:O6)</f>
        <v>104568</v>
      </c>
      <c r="D6" s="44">
        <f>'[6]2020'!$D$3</f>
        <v>30196</v>
      </c>
      <c r="E6" s="44">
        <f>'[7]2020'!$D$4+'[7]2020'!$D$11</f>
        <v>1421</v>
      </c>
      <c r="F6" s="44">
        <f>'[6]2020'!$D$5</f>
        <v>1897</v>
      </c>
      <c r="G6" s="44">
        <f>'[6]2020'!$D$10</f>
        <v>19</v>
      </c>
      <c r="H6" s="43">
        <f>'[7]2020'!$D$6+'[7]2020'!$D$7+'[7]2020'!$D$12</f>
        <v>12</v>
      </c>
      <c r="I6" s="43">
        <f>'[6]2020'!$D$13</f>
        <v>252</v>
      </c>
      <c r="J6" s="43">
        <f>'[6]2020'!$D$14</f>
        <v>108</v>
      </c>
      <c r="K6" s="43">
        <f>'[6]2020'!$D$8+'[6]2020'!$D$15+'[6]2020'!$D$47</f>
        <v>3525</v>
      </c>
      <c r="L6" s="43">
        <f>'[6]2020'!$D$18</f>
        <v>153</v>
      </c>
      <c r="M6" s="44">
        <f>'[6]2020'!$D$46</f>
        <v>48001</v>
      </c>
      <c r="N6" s="44">
        <f>'[6]2020'!$D$17</f>
        <v>1236</v>
      </c>
      <c r="O6" s="44">
        <f>'[6]2020'!$D$44</f>
        <v>17748</v>
      </c>
    </row>
    <row r="7" spans="2:15" s="10" customFormat="1" ht="32.1" customHeight="1" x14ac:dyDescent="0.15">
      <c r="B7" s="55" t="s">
        <v>1</v>
      </c>
      <c r="C7" s="21">
        <f t="shared" ref="C7:C17" si="1">SUM(D7:O7)</f>
        <v>90987</v>
      </c>
      <c r="D7" s="45">
        <f>'[8]2020'!$E$3</f>
        <v>23307</v>
      </c>
      <c r="E7" s="45">
        <f>'[9]2020'!$E$4+'[9]2020'!$E$11</f>
        <v>1232</v>
      </c>
      <c r="F7" s="45">
        <f>'[8]2020'!$E$5</f>
        <v>2004</v>
      </c>
      <c r="G7" s="45">
        <f>'[8]2020'!$E$10</f>
        <v>6</v>
      </c>
      <c r="H7" s="45">
        <f>'[9]2020'!$E$6+'[9]2020'!$E$7+'[9]2020'!$E$12</f>
        <v>0</v>
      </c>
      <c r="I7" s="45">
        <f>'[8]2020'!$E$13</f>
        <v>343</v>
      </c>
      <c r="J7" s="45">
        <f>'[8]2020'!$E$14</f>
        <v>52</v>
      </c>
      <c r="K7" s="45">
        <f>'[8]2020'!$E$8+'[8]2020'!$E$15+'[8]2020'!$E$47</f>
        <v>1956</v>
      </c>
      <c r="L7" s="45">
        <f>'[8]2020'!$E$18</f>
        <v>107</v>
      </c>
      <c r="M7" s="45">
        <f>'[8]2020'!$E$46</f>
        <v>41213</v>
      </c>
      <c r="N7" s="45">
        <f>'[8]2020'!$E$17</f>
        <v>1973</v>
      </c>
      <c r="O7" s="45">
        <f>'[8]2020'!$E$44</f>
        <v>18794</v>
      </c>
    </row>
    <row r="8" spans="2:15" s="10" customFormat="1" ht="32.1" customHeight="1" x14ac:dyDescent="0.15">
      <c r="B8" s="55" t="s">
        <v>2</v>
      </c>
      <c r="C8" s="21">
        <f t="shared" si="1"/>
        <v>121045</v>
      </c>
      <c r="D8" s="46">
        <f>'[10]2020'!$F$3</f>
        <v>44432</v>
      </c>
      <c r="E8" s="46">
        <f>'[11]2020'!$F$4+'[11]2020'!$F$11</f>
        <v>1586</v>
      </c>
      <c r="F8" s="46">
        <f>'[10]2020'!$F$5</f>
        <v>2249</v>
      </c>
      <c r="G8" s="46">
        <f>'[10]2020'!$F$10</f>
        <v>18</v>
      </c>
      <c r="H8" s="21">
        <f>'[11]2020'!$F$6+'[11]2020'!$F$7+'[11]2020'!$F$12</f>
        <v>0</v>
      </c>
      <c r="I8" s="21">
        <f>'[10]2020'!$F$13</f>
        <v>328</v>
      </c>
      <c r="J8" s="21">
        <f>'[10]2020'!$F$14</f>
        <v>85</v>
      </c>
      <c r="K8" s="21">
        <f>'[10]2020'!$F$8+'[10]2020'!$F$15+'[10]2020'!$F$47</f>
        <v>1332</v>
      </c>
      <c r="L8" s="21">
        <f>'[10]2020'!$F$18</f>
        <v>122</v>
      </c>
      <c r="M8" s="46">
        <f>'[10]2020'!$F$46</f>
        <v>40845</v>
      </c>
      <c r="N8" s="46">
        <f>'[10]2020'!$F$17</f>
        <v>1815</v>
      </c>
      <c r="O8" s="46">
        <f>'[10]2020'!$F$44</f>
        <v>28233</v>
      </c>
    </row>
    <row r="9" spans="2:15" s="10" customFormat="1" ht="32.1" customHeight="1" x14ac:dyDescent="0.15">
      <c r="B9" s="55" t="s">
        <v>3</v>
      </c>
      <c r="C9" s="21">
        <f t="shared" si="1"/>
        <v>116439</v>
      </c>
      <c r="D9" s="47">
        <f>'[12]2020'!$G$3</f>
        <v>27747</v>
      </c>
      <c r="E9" s="47">
        <f>'[13]2020'!$G$4+'[13]2020'!$G$11</f>
        <v>1804</v>
      </c>
      <c r="F9" s="47">
        <f>'[12]2020'!$G$5</f>
        <v>902</v>
      </c>
      <c r="G9" s="48">
        <f>'[12]2020'!$G$10</f>
        <v>14</v>
      </c>
      <c r="H9" s="48">
        <f>'[13]2020'!$G$6+'[13]2020'!$G$7+'[13]2020'!$G$12</f>
        <v>0</v>
      </c>
      <c r="I9" s="48">
        <f>'[12]2020'!$G$13</f>
        <v>140</v>
      </c>
      <c r="J9" s="48">
        <f>'[12]2020'!$G$14</f>
        <v>50</v>
      </c>
      <c r="K9" s="49">
        <f>'[12]2020'!$G$8+'[12]2020'!$G$15+'[12]2020'!$G$47</f>
        <v>1300</v>
      </c>
      <c r="L9" s="21">
        <f>'[12]2020'!$G$18</f>
        <v>111</v>
      </c>
      <c r="M9" s="47">
        <f>'[12]2020'!$G$46</f>
        <v>46394</v>
      </c>
      <c r="N9" s="48">
        <f>'[12]2020'!$G$17</f>
        <v>434</v>
      </c>
      <c r="O9" s="48">
        <f>'[12]2020'!$G$44</f>
        <v>37543</v>
      </c>
    </row>
    <row r="10" spans="2:15" s="10" customFormat="1" ht="32.1" customHeight="1" x14ac:dyDescent="0.15">
      <c r="B10" s="55" t="s">
        <v>4</v>
      </c>
      <c r="C10" s="21">
        <f t="shared" si="1"/>
        <v>63462</v>
      </c>
      <c r="D10" s="32">
        <f>'[14]2020'!$H$3</f>
        <v>19135</v>
      </c>
      <c r="E10" s="32">
        <f>'[15]2020'!$H$4+'[15]2020'!$H$11</f>
        <v>1204</v>
      </c>
      <c r="F10" s="32">
        <f>'[14]2020'!$H$5</f>
        <v>625</v>
      </c>
      <c r="G10" s="32">
        <f>'[14]2020'!$H$10</f>
        <v>0</v>
      </c>
      <c r="H10" s="21">
        <f>'[15]2020'!$H$6+'[15]2020'!$H$7+'[15]2020'!$H$12</f>
        <v>35</v>
      </c>
      <c r="I10" s="21">
        <f>'[14]2020'!$H$13</f>
        <v>56</v>
      </c>
      <c r="J10" s="21">
        <f>'[14]2020'!$H$14</f>
        <v>95</v>
      </c>
      <c r="K10" s="21">
        <f>'[14]2020'!$H$8+'[14]2020'!$H$15+'[14]2020'!$H$47</f>
        <v>813</v>
      </c>
      <c r="L10" s="21">
        <f>'[14]2020'!$H$18</f>
        <v>60</v>
      </c>
      <c r="M10" s="32">
        <f>'[14]2020'!$H$46</f>
        <v>26824</v>
      </c>
      <c r="N10" s="32">
        <f>'[14]2020'!$H$17</f>
        <v>284</v>
      </c>
      <c r="O10" s="32">
        <f>'[14]2020'!$H$44</f>
        <v>14331</v>
      </c>
    </row>
    <row r="11" spans="2:15" s="10" customFormat="1" ht="32.1" customHeight="1" x14ac:dyDescent="0.15">
      <c r="B11" s="55" t="s">
        <v>5</v>
      </c>
      <c r="C11" s="21">
        <f t="shared" si="1"/>
        <v>70020</v>
      </c>
      <c r="D11" s="32">
        <f>'[16]2020'!$I$3</f>
        <v>31139</v>
      </c>
      <c r="E11" s="32">
        <f>'[17]2020'!$I$4+'[17]2020'!$I$11</f>
        <v>1496</v>
      </c>
      <c r="F11" s="32">
        <f>'[16]2020'!$I$5</f>
        <v>378</v>
      </c>
      <c r="G11" s="32">
        <f>'[16]2020'!$I$10</f>
        <v>2</v>
      </c>
      <c r="H11" s="21">
        <f>'[17]2020'!$I$6+'[17]2020'!$I$7+'[17]2020'!$I$12</f>
        <v>7</v>
      </c>
      <c r="I11" s="21">
        <f>'[16]2020'!$I$13</f>
        <v>232</v>
      </c>
      <c r="J11" s="21">
        <f>'[16]2020'!$I$14</f>
        <v>53</v>
      </c>
      <c r="K11" s="21">
        <f>'[16]2020'!$I$8+'[16]2020'!$I$15+'[16]2020'!$I$47</f>
        <v>1161</v>
      </c>
      <c r="L11" s="21">
        <f>'[16]2020'!$I$18</f>
        <v>10</v>
      </c>
      <c r="M11" s="32">
        <f>'[16]2020'!$I$46</f>
        <v>24875</v>
      </c>
      <c r="N11" s="32">
        <f>'[16]2020'!$I$17</f>
        <v>812</v>
      </c>
      <c r="O11" s="32">
        <f>'[16]2020'!$I$44</f>
        <v>9855</v>
      </c>
    </row>
    <row r="12" spans="2:15" s="10" customFormat="1" ht="32.1" customHeight="1" x14ac:dyDescent="0.15">
      <c r="B12" s="55" t="s">
        <v>6</v>
      </c>
      <c r="C12" s="21">
        <f t="shared" si="1"/>
        <v>103109</v>
      </c>
      <c r="D12" s="32">
        <f>'[18]2020'!$J$3</f>
        <v>40294</v>
      </c>
      <c r="E12" s="32">
        <f>'[19]2020'!$J$4+'[19]2020'!$J$11</f>
        <v>1408</v>
      </c>
      <c r="F12" s="32">
        <f>'[18]2020'!$J$5</f>
        <v>663</v>
      </c>
      <c r="G12" s="32">
        <f>'[18]2020'!$J$10</f>
        <v>1</v>
      </c>
      <c r="H12" s="21">
        <f>'[19]2020'!$J$6+'[19]2020'!$J$7+'[19]2020'!$J$12</f>
        <v>0</v>
      </c>
      <c r="I12" s="21">
        <f>'[18]2020'!$J$13</f>
        <v>152</v>
      </c>
      <c r="J12" s="21">
        <f>'[18]2020'!$J$14</f>
        <v>61</v>
      </c>
      <c r="K12" s="21">
        <f>'[18]2020'!$J$8+'[18]2020'!$J$15+'[18]2020'!$J$47</f>
        <v>1727</v>
      </c>
      <c r="L12" s="21">
        <f>'[18]2020'!$J$18</f>
        <v>38</v>
      </c>
      <c r="M12" s="32">
        <f>'[18]2020'!$J$46</f>
        <v>42866</v>
      </c>
      <c r="N12" s="32">
        <f>'[18]2020'!$J$17</f>
        <v>697</v>
      </c>
      <c r="O12" s="32">
        <f>'[18]2020'!$J$44</f>
        <v>15202</v>
      </c>
    </row>
    <row r="13" spans="2:15" s="10" customFormat="1" ht="32.1" customHeight="1" x14ac:dyDescent="0.15">
      <c r="B13" s="55" t="s">
        <v>7</v>
      </c>
      <c r="C13" s="21">
        <f t="shared" si="1"/>
        <v>81046</v>
      </c>
      <c r="D13" s="32">
        <f>'[20]2020'!$K$3</f>
        <v>23205</v>
      </c>
      <c r="E13" s="32">
        <f>'[21]2020'!$K$4+'[21]2020'!$K$11</f>
        <v>1798</v>
      </c>
      <c r="F13" s="32">
        <f>'[20]2020'!$K$5</f>
        <v>1121</v>
      </c>
      <c r="G13" s="32">
        <f>'[20]2020'!$K$10</f>
        <v>1</v>
      </c>
      <c r="H13" s="21">
        <f>'[21]2020'!$K$6+'[21]2020'!$K$7+'[21]2020'!$K$12</f>
        <v>0</v>
      </c>
      <c r="I13" s="21">
        <f>'[20]2020'!$K$13</f>
        <v>298</v>
      </c>
      <c r="J13" s="21">
        <f>'[20]2020'!$K$14</f>
        <v>39</v>
      </c>
      <c r="K13" s="21">
        <f>'[20]2020'!$K$8+'[20]2020'!$K$15+'[20]2020'!$K$47</f>
        <v>1165</v>
      </c>
      <c r="L13" s="21">
        <f>'[20]2020'!$K$18</f>
        <v>77</v>
      </c>
      <c r="M13" s="32">
        <f>'[20]2020'!$K$46</f>
        <v>26864</v>
      </c>
      <c r="N13" s="32">
        <f>'[20]2020'!$K$17</f>
        <v>766</v>
      </c>
      <c r="O13" s="32">
        <f>'[20]2020'!$K$44</f>
        <v>25712</v>
      </c>
    </row>
    <row r="14" spans="2:15" s="10" customFormat="1" ht="32.1" customHeight="1" x14ac:dyDescent="0.15">
      <c r="B14" s="55" t="s">
        <v>8</v>
      </c>
      <c r="C14" s="21">
        <f>SUM(D14:O14)</f>
        <v>132368</v>
      </c>
      <c r="D14" s="32">
        <f>'[22]2020'!$L$3</f>
        <v>39805</v>
      </c>
      <c r="E14" s="32">
        <f>'[23]2020'!$L$4+'[23]2020'!$L$11</f>
        <v>1799</v>
      </c>
      <c r="F14" s="32">
        <f>'[22]2020'!$L$5</f>
        <v>1550</v>
      </c>
      <c r="G14" s="32">
        <f>'[22]2020'!$L$10</f>
        <v>6</v>
      </c>
      <c r="H14" s="21">
        <f>'[23]2020'!$L$6+'[23]2020'!$L$7+'[23]2020'!$L$12</f>
        <v>2</v>
      </c>
      <c r="I14" s="21">
        <f>'[22]2020'!$L$13</f>
        <v>383</v>
      </c>
      <c r="J14" s="21">
        <f>'[22]2020'!$L$14</f>
        <v>70</v>
      </c>
      <c r="K14" s="21">
        <f>'[22]2020'!$L$8+'[22]2020'!$L$15+'[22]2020'!$L$47</f>
        <v>2080</v>
      </c>
      <c r="L14" s="21">
        <f>'[22]2020'!$L$18</f>
        <v>106</v>
      </c>
      <c r="M14" s="32">
        <f>'[22]2020'!$L$46</f>
        <v>48024</v>
      </c>
      <c r="N14" s="32">
        <f>'[22]2020'!$L$17</f>
        <v>1602</v>
      </c>
      <c r="O14" s="32">
        <f>'[22]2020'!$L$44</f>
        <v>36941</v>
      </c>
    </row>
    <row r="15" spans="2:15" s="10" customFormat="1" ht="32.1" customHeight="1" x14ac:dyDescent="0.15">
      <c r="B15" s="55" t="s">
        <v>9</v>
      </c>
      <c r="C15" s="21">
        <f>SUM(D15:O15)</f>
        <v>126992</v>
      </c>
      <c r="D15" s="32">
        <f>'[24]2020'!$M$3</f>
        <v>42813</v>
      </c>
      <c r="E15" s="32">
        <f>'[25]2020'!$M$4+'[25]2020'!$M$11</f>
        <v>2768</v>
      </c>
      <c r="F15" s="32">
        <f>'[24]2020'!$M$5</f>
        <v>1795</v>
      </c>
      <c r="G15" s="32">
        <f>'[24]2020'!$M$10</f>
        <v>9</v>
      </c>
      <c r="H15" s="21">
        <f>'[25]2020'!$M$6+'[25]2020'!$M$7+'[25]2020'!$M$12</f>
        <v>0</v>
      </c>
      <c r="I15" s="21">
        <f>'[24]2020'!$M$13</f>
        <v>268</v>
      </c>
      <c r="J15" s="21">
        <f>'[24]2020'!$M$14</f>
        <v>91</v>
      </c>
      <c r="K15" s="21">
        <f>'[24]2020'!$M$8+'[24]2020'!$M$15+'[24]2020'!$M$47</f>
        <v>958</v>
      </c>
      <c r="L15" s="21">
        <f>'[24]2020'!$M$18</f>
        <v>118</v>
      </c>
      <c r="M15" s="32">
        <f>'[24]2020'!$M$46</f>
        <v>46193</v>
      </c>
      <c r="N15" s="32">
        <f>'[24]2020'!$M$17</f>
        <v>1590</v>
      </c>
      <c r="O15" s="32">
        <f>'[24]2020'!$M$44</f>
        <v>30389</v>
      </c>
    </row>
    <row r="16" spans="2:15" s="10" customFormat="1" ht="32.1" customHeight="1" x14ac:dyDescent="0.15">
      <c r="B16" s="55" t="s">
        <v>10</v>
      </c>
      <c r="C16" s="21">
        <f t="shared" si="1"/>
        <v>139325</v>
      </c>
      <c r="D16" s="32">
        <f>'[26]2020'!$N$3</f>
        <v>45122</v>
      </c>
      <c r="E16" s="32">
        <f>'[27]2020'!$N$4+'[27]2020'!$N$11</f>
        <v>2524</v>
      </c>
      <c r="F16" s="32">
        <f>'[26]2020'!$N$5</f>
        <v>2607</v>
      </c>
      <c r="G16" s="32">
        <f>'[26]2020'!$N$10</f>
        <v>8</v>
      </c>
      <c r="H16" s="21">
        <f>'[27]2020'!$N$6+'[27]2020'!$N$7+'[27]2020'!$N$12</f>
        <v>0</v>
      </c>
      <c r="I16" s="21">
        <f>'[26]2020'!$N$13</f>
        <v>146</v>
      </c>
      <c r="J16" s="21">
        <f>'[26]2020'!$N$14</f>
        <v>33</v>
      </c>
      <c r="K16" s="21">
        <f>'[26]2020'!$N$8+'[26]2020'!$N$15+'[26]2020'!$N$47</f>
        <v>1496</v>
      </c>
      <c r="L16" s="21">
        <f>'[26]2020'!$N$18</f>
        <v>156</v>
      </c>
      <c r="M16" s="32">
        <f>'[26]2020'!$N$46</f>
        <v>56159</v>
      </c>
      <c r="N16" s="32">
        <f>'[26]2020'!$N$17</f>
        <v>734</v>
      </c>
      <c r="O16" s="32">
        <f>'[26]2020'!$N$44</f>
        <v>30340</v>
      </c>
    </row>
    <row r="17" spans="2:15" s="10" customFormat="1" ht="32.1" customHeight="1" x14ac:dyDescent="0.15">
      <c r="B17" s="55" t="s">
        <v>11</v>
      </c>
      <c r="C17" s="21">
        <f t="shared" si="1"/>
        <v>110767</v>
      </c>
      <c r="D17" s="32">
        <f>'[28]2020'!$O$3</f>
        <v>33637</v>
      </c>
      <c r="E17" s="32">
        <f>'[29]2020'!$O$4+'[29]2020'!$O$11</f>
        <v>2535</v>
      </c>
      <c r="F17" s="32">
        <f>'[28]2020'!$O$5</f>
        <v>2216</v>
      </c>
      <c r="G17" s="32">
        <f>'[28]2020'!$O$10</f>
        <v>15</v>
      </c>
      <c r="H17" s="21">
        <f>'[29]2020'!$O$6+'[29]2020'!$O$7+'[29]2020'!$O$12</f>
        <v>16</v>
      </c>
      <c r="I17" s="21">
        <f>'[28]2020'!$O$13</f>
        <v>392</v>
      </c>
      <c r="J17" s="21">
        <f>'[28]2020'!$O$14</f>
        <v>69</v>
      </c>
      <c r="K17" s="21">
        <f>'[28]2020'!$O$8+'[28]2020'!$O$15+'[28]2020'!$O$47</f>
        <v>2090</v>
      </c>
      <c r="L17" s="21">
        <f>'[28]2020'!$O$18</f>
        <v>240</v>
      </c>
      <c r="M17" s="32">
        <f>'[28]2020'!$O$46</f>
        <v>39270</v>
      </c>
      <c r="N17" s="32">
        <f>'[28]2020'!$O$17</f>
        <v>1178</v>
      </c>
      <c r="O17" s="32">
        <f>'[28]2020'!$O$44</f>
        <v>29109</v>
      </c>
    </row>
  </sheetData>
  <mergeCells count="2">
    <mergeCell ref="B2:O2"/>
    <mergeCell ref="B3:O3"/>
  </mergeCells>
  <phoneticPr fontId="3" type="noConversion"/>
  <pageMargins left="1.1417322834645669" right="0.51181102362204722" top="1.1023622047244095" bottom="0.74803149606299213" header="0.31496062992125984" footer="0.31496062992125984"/>
  <pageSetup paperSize="9" scale="80" fitToWidth="2" fitToHeight="2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7"/>
  <sheetViews>
    <sheetView workbookViewId="0"/>
  </sheetViews>
  <sheetFormatPr defaultRowHeight="13.5" x14ac:dyDescent="0.15"/>
  <cols>
    <col min="1" max="1" width="3.77734375" customWidth="1"/>
    <col min="2" max="2" width="9.77734375" customWidth="1"/>
    <col min="3" max="3" width="12.109375" customWidth="1"/>
    <col min="4" max="15" width="9.77734375" customWidth="1"/>
  </cols>
  <sheetData>
    <row r="1" spans="2:15" ht="32.1" customHeight="1" x14ac:dyDescent="0.15"/>
    <row r="2" spans="2:15" ht="39.950000000000003" customHeight="1" x14ac:dyDescent="0.15">
      <c r="B2" s="75" t="s">
        <v>227</v>
      </c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</row>
    <row r="3" spans="2:15" ht="32.1" customHeight="1" x14ac:dyDescent="0.15"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</row>
    <row r="4" spans="2:15" s="10" customFormat="1" ht="32.1" customHeight="1" x14ac:dyDescent="0.15">
      <c r="B4" s="52" t="s">
        <v>205</v>
      </c>
      <c r="C4" s="53" t="s">
        <v>14</v>
      </c>
      <c r="D4" s="53" t="s">
        <v>68</v>
      </c>
      <c r="E4" s="53" t="s">
        <v>69</v>
      </c>
      <c r="F4" s="53" t="s">
        <v>62</v>
      </c>
      <c r="G4" s="53" t="s">
        <v>157</v>
      </c>
      <c r="H4" s="53" t="s">
        <v>130</v>
      </c>
      <c r="I4" s="53" t="s">
        <v>177</v>
      </c>
      <c r="J4" s="53" t="s">
        <v>176</v>
      </c>
      <c r="K4" s="53" t="s">
        <v>63</v>
      </c>
      <c r="L4" s="53" t="s">
        <v>160</v>
      </c>
      <c r="M4" s="53" t="s">
        <v>151</v>
      </c>
      <c r="N4" s="53" t="s">
        <v>149</v>
      </c>
      <c r="O4" s="53" t="s">
        <v>150</v>
      </c>
    </row>
    <row r="5" spans="2:15" s="10" customFormat="1" ht="32.1" customHeight="1" x14ac:dyDescent="0.15">
      <c r="B5" s="53" t="s">
        <v>209</v>
      </c>
      <c r="C5" s="54">
        <f>SUM(C6:C17)</f>
        <v>1429401</v>
      </c>
      <c r="D5" s="54">
        <f t="shared" ref="D5:O5" si="0">SUM(D6:D17)</f>
        <v>511161</v>
      </c>
      <c r="E5" s="54">
        <f t="shared" si="0"/>
        <v>42356</v>
      </c>
      <c r="F5" s="54">
        <f t="shared" si="0"/>
        <v>26251</v>
      </c>
      <c r="G5" s="54">
        <f t="shared" si="0"/>
        <v>290</v>
      </c>
      <c r="H5" s="54">
        <f t="shared" si="0"/>
        <v>690</v>
      </c>
      <c r="I5" s="54">
        <f t="shared" si="0"/>
        <v>2014</v>
      </c>
      <c r="J5" s="54">
        <f t="shared" si="0"/>
        <v>750</v>
      </c>
      <c r="K5" s="54">
        <f t="shared" si="0"/>
        <v>26185</v>
      </c>
      <c r="L5" s="54">
        <f t="shared" si="0"/>
        <v>3384</v>
      </c>
      <c r="M5" s="54">
        <f t="shared" si="0"/>
        <v>534744</v>
      </c>
      <c r="N5" s="54">
        <f t="shared" si="0"/>
        <v>11540</v>
      </c>
      <c r="O5" s="54">
        <f t="shared" si="0"/>
        <v>270036</v>
      </c>
    </row>
    <row r="6" spans="2:15" s="10" customFormat="1" ht="32.1" customHeight="1" x14ac:dyDescent="0.15">
      <c r="B6" s="55" t="s">
        <v>0</v>
      </c>
      <c r="C6" s="37">
        <f>SUM(D6:O6)</f>
        <v>126602</v>
      </c>
      <c r="D6" s="50">
        <f>'[30]2021'!$D$3</f>
        <v>41577</v>
      </c>
      <c r="E6" s="50">
        <f>'[31]2021'!$D$4+'[31]2021'!$D$11</f>
        <v>1936</v>
      </c>
      <c r="F6" s="50">
        <f>'[30]2021'!$D$5</f>
        <v>2758</v>
      </c>
      <c r="G6" s="50">
        <f>'[30]2021'!$D$10</f>
        <v>28</v>
      </c>
      <c r="H6" s="51">
        <f>'[31]2021'!$D$6+'[31]2021'!$D$7+'[31]2021'!$D$12</f>
        <v>0</v>
      </c>
      <c r="I6" s="51">
        <f>'[30]2021'!$D$13</f>
        <v>329</v>
      </c>
      <c r="J6" s="51">
        <f>'[30]2021'!$D$14</f>
        <v>83</v>
      </c>
      <c r="K6" s="51">
        <f>'[30]2021'!$D$8+'[30]2021'!$D$15+'[30]2021'!$D$47</f>
        <v>3315</v>
      </c>
      <c r="L6" s="51">
        <f>'[30]2021'!$D$18</f>
        <v>606</v>
      </c>
      <c r="M6" s="50">
        <f>'[30]2021'!$D$46</f>
        <v>49719</v>
      </c>
      <c r="N6" s="50">
        <f>'[30]2021'!$D$17</f>
        <v>1896</v>
      </c>
      <c r="O6" s="50">
        <f>'[30]2021'!$D$44</f>
        <v>24355</v>
      </c>
    </row>
    <row r="7" spans="2:15" s="10" customFormat="1" ht="32.1" customHeight="1" x14ac:dyDescent="0.15">
      <c r="B7" s="55" t="s">
        <v>1</v>
      </c>
      <c r="C7" s="21">
        <f t="shared" ref="C7:C17" si="1">SUM(D7:O7)</f>
        <v>103292</v>
      </c>
      <c r="D7" s="45">
        <f>'[32]2021'!$E$3</f>
        <v>40701</v>
      </c>
      <c r="E7" s="45">
        <f>'[33]2021'!$E$4+'[33]2021'!$E$11</f>
        <v>3844</v>
      </c>
      <c r="F7" s="45">
        <f>'[32]2021'!$E$5</f>
        <v>470</v>
      </c>
      <c r="G7" s="45">
        <f>'[32]2021'!$E$10</f>
        <v>42</v>
      </c>
      <c r="H7" s="45">
        <f>'[33]2021'!$E$6+'[33]2021'!$E$7+'[33]2021'!$E$12</f>
        <v>0</v>
      </c>
      <c r="I7" s="45">
        <f>'[32]2021'!$E$13</f>
        <v>119</v>
      </c>
      <c r="J7" s="45">
        <f>'[32]2021'!$E$14</f>
        <v>59</v>
      </c>
      <c r="K7" s="45">
        <f>'[32]2021'!$E$8+'[32]2021'!$E$15+'[32]2021'!$E$47</f>
        <v>1556</v>
      </c>
      <c r="L7" s="45">
        <f>'[32]2021'!$E$18</f>
        <v>111</v>
      </c>
      <c r="M7" s="45">
        <f>'[32]2021'!$E$46</f>
        <v>38271</v>
      </c>
      <c r="N7" s="45">
        <f>'[32]2021'!$E$17</f>
        <v>804</v>
      </c>
      <c r="O7" s="45">
        <f>'[32]2021'!$E$44</f>
        <v>17315</v>
      </c>
    </row>
    <row r="8" spans="2:15" s="10" customFormat="1" ht="32.1" customHeight="1" x14ac:dyDescent="0.15">
      <c r="B8" s="55" t="s">
        <v>2</v>
      </c>
      <c r="C8" s="21">
        <f t="shared" si="1"/>
        <v>122901</v>
      </c>
      <c r="D8" s="46">
        <f>'[34]2021'!$F$3</f>
        <v>46230</v>
      </c>
      <c r="E8" s="46">
        <f>'[35]2021'!$F$4+'[35]2021'!$F$11</f>
        <v>3141</v>
      </c>
      <c r="F8" s="46">
        <f>'[34]2021'!$F$5</f>
        <v>2249</v>
      </c>
      <c r="G8" s="46">
        <f>'[34]2021'!$F$10</f>
        <v>32</v>
      </c>
      <c r="H8" s="21">
        <f>'[35]2021'!$F$6+'[35]2021'!$F$7+'[35]2021'!$F$12</f>
        <v>0</v>
      </c>
      <c r="I8" s="21">
        <f>'[34]2021'!$F$13</f>
        <v>154</v>
      </c>
      <c r="J8" s="21">
        <f>'[34]2021'!$F$14</f>
        <v>29</v>
      </c>
      <c r="K8" s="21">
        <f>'[34]2021'!$F$8+'[34]2021'!$F$15+'[34]2021'!$F$47</f>
        <v>3212</v>
      </c>
      <c r="L8" s="21">
        <f>'[34]2021'!$F$18</f>
        <v>201</v>
      </c>
      <c r="M8" s="46">
        <f>'[34]2021'!$F$46</f>
        <v>40217</v>
      </c>
      <c r="N8" s="45">
        <f>'[34]2021'!$F$17</f>
        <v>1019</v>
      </c>
      <c r="O8" s="46">
        <f>'[36]2021'!$F$44</f>
        <v>26417</v>
      </c>
    </row>
    <row r="9" spans="2:15" s="10" customFormat="1" ht="32.1" customHeight="1" x14ac:dyDescent="0.15">
      <c r="B9" s="55" t="s">
        <v>3</v>
      </c>
      <c r="C9" s="21">
        <f t="shared" si="1"/>
        <v>143246</v>
      </c>
      <c r="D9" s="46">
        <f>'[37]2021'!$G$3</f>
        <v>47743</v>
      </c>
      <c r="E9" s="46">
        <f>'[38]2021'!$G$4+'[38]2021'!$G$11</f>
        <v>5051</v>
      </c>
      <c r="F9" s="47">
        <f>'[39]2021'!$G$5</f>
        <v>1480</v>
      </c>
      <c r="G9" s="48">
        <f>'[37]2021'!$G$10</f>
        <v>31</v>
      </c>
      <c r="H9" s="48">
        <f>'[38]2021'!$G$6+'[40]2021'!$G$7+'[40]2021'!$G$12</f>
        <v>8</v>
      </c>
      <c r="I9" s="48">
        <f>'[37]2021'!$G$13</f>
        <v>260</v>
      </c>
      <c r="J9" s="48">
        <f>'[37]2021'!$G$14</f>
        <v>115</v>
      </c>
      <c r="K9" s="49">
        <f>'[37]2021'!$G$8+'[37]2021'!$G$15+'[37]2021'!$G$47</f>
        <v>3263</v>
      </c>
      <c r="L9" s="21">
        <f>'[37]2021'!$G$18</f>
        <v>187</v>
      </c>
      <c r="M9" s="46">
        <f>'[37]2021'!$G$46</f>
        <v>51676</v>
      </c>
      <c r="N9" s="46">
        <f>'[37]2021'!$G$17</f>
        <v>1504</v>
      </c>
      <c r="O9" s="46">
        <f>'[37]2021'!$G$44</f>
        <v>31928</v>
      </c>
    </row>
    <row r="10" spans="2:15" s="10" customFormat="1" ht="32.1" customHeight="1" x14ac:dyDescent="0.15">
      <c r="B10" s="55" t="s">
        <v>4</v>
      </c>
      <c r="C10" s="21">
        <f t="shared" si="1"/>
        <v>121236</v>
      </c>
      <c r="D10" s="46">
        <f>'[41]2021'!$H$3</f>
        <v>38679</v>
      </c>
      <c r="E10" s="46">
        <f>'[42]2021'!$H$4+'[42]2021'!$H$11</f>
        <v>3490</v>
      </c>
      <c r="F10" s="47">
        <f>'[43]2021'!$H$5</f>
        <v>2180</v>
      </c>
      <c r="G10" s="48">
        <f>'[41]2021'!$H$10</f>
        <v>12</v>
      </c>
      <c r="H10" s="48">
        <f>'[42]2021'!$H$6+'[42]2021'!$H$7+'[42]2021'!$H$12</f>
        <v>5</v>
      </c>
      <c r="I10" s="48">
        <f>'[41]2021'!$H$13</f>
        <v>266</v>
      </c>
      <c r="J10" s="48">
        <f>'[41]2021'!$H$14</f>
        <v>78</v>
      </c>
      <c r="K10" s="49">
        <f>'[41]2021'!$H$8+'[41]2021'!$H$15+'[41]2021'!$H$47</f>
        <v>2950</v>
      </c>
      <c r="L10" s="21">
        <f>'[41]2021'!$H$18</f>
        <v>114</v>
      </c>
      <c r="M10" s="46">
        <f>'[41]2021'!$H$46</f>
        <v>44656</v>
      </c>
      <c r="N10" s="46">
        <f>'[41]2021'!$H$17</f>
        <v>1738</v>
      </c>
      <c r="O10" s="46">
        <f>'[41]2021'!$H$44</f>
        <v>27068</v>
      </c>
    </row>
    <row r="11" spans="2:15" s="10" customFormat="1" ht="32.1" customHeight="1" x14ac:dyDescent="0.15">
      <c r="B11" s="55" t="s">
        <v>5</v>
      </c>
      <c r="C11" s="21">
        <f t="shared" si="1"/>
        <v>119180</v>
      </c>
      <c r="D11" s="46">
        <f>'[44]2021'!$I$3</f>
        <v>45729</v>
      </c>
      <c r="E11" s="46">
        <v>3539</v>
      </c>
      <c r="F11" s="47">
        <f>'[43]2021'!$I$5</f>
        <v>2513</v>
      </c>
      <c r="G11" s="48">
        <f>'[44]2021'!$I$10</f>
        <v>6</v>
      </c>
      <c r="H11" s="48">
        <f>'[45]2021'!$I$6+'[45]2021'!$I$7+'[46]2021'!$I$12</f>
        <v>0</v>
      </c>
      <c r="I11" s="48">
        <f>'[44]2021'!$I$13</f>
        <v>214</v>
      </c>
      <c r="J11" s="48">
        <f>'[41]2021'!$I$14</f>
        <v>98</v>
      </c>
      <c r="K11" s="49">
        <f>'[44]2021'!$I$8+'[44]2021'!$I$15+'[44]2021'!$I$47</f>
        <v>1750</v>
      </c>
      <c r="L11" s="21">
        <f>'[44]2021'!$I$18</f>
        <v>710</v>
      </c>
      <c r="M11" s="46">
        <f>'[44]2021'!$I$46</f>
        <v>39819</v>
      </c>
      <c r="N11" s="46">
        <f>'[44]2021'!$I$17</f>
        <v>1254</v>
      </c>
      <c r="O11" s="46">
        <f>'[44]2021'!$I$44</f>
        <v>23548</v>
      </c>
    </row>
    <row r="12" spans="2:15" s="10" customFormat="1" ht="32.1" customHeight="1" x14ac:dyDescent="0.15">
      <c r="B12" s="55" t="s">
        <v>6</v>
      </c>
      <c r="C12" s="21">
        <f t="shared" si="1"/>
        <v>128534</v>
      </c>
      <c r="D12" s="46">
        <f>'[47]2021'!$J$3</f>
        <v>47166</v>
      </c>
      <c r="E12" s="46">
        <f>'[48]2021'!$J$4+'[48]2021'!$J$11</f>
        <v>3997</v>
      </c>
      <c r="F12" s="47">
        <f>'[49]2021'!$J$5</f>
        <v>2895</v>
      </c>
      <c r="G12" s="48">
        <f>'[47]2021'!$J$10</f>
        <v>22</v>
      </c>
      <c r="H12" s="48">
        <f>'[48]2021'!$J$6+'[48]2021'!$J$7+'[48]2021'!$J$12</f>
        <v>333</v>
      </c>
      <c r="I12" s="48">
        <f>'[47]2021'!$J$13</f>
        <v>180</v>
      </c>
      <c r="J12" s="48">
        <f>'[47]2021'!$J$14</f>
        <v>46</v>
      </c>
      <c r="K12" s="49">
        <f>'[47]2021'!$J$8+'[47]2021'!$J$15+'[47]2021'!$J$47</f>
        <v>2094</v>
      </c>
      <c r="L12" s="21">
        <f>'[47]2021'!$J$18</f>
        <v>330</v>
      </c>
      <c r="M12" s="46">
        <f>'[47]2021'!$J$46</f>
        <v>46772</v>
      </c>
      <c r="N12" s="46">
        <f>'[47]2021'!$J$17</f>
        <v>506</v>
      </c>
      <c r="O12" s="46">
        <f>'[47]2021'!$J$44</f>
        <v>24193</v>
      </c>
    </row>
    <row r="13" spans="2:15" s="10" customFormat="1" ht="32.1" customHeight="1" x14ac:dyDescent="0.15">
      <c r="B13" s="55" t="s">
        <v>7</v>
      </c>
      <c r="C13" s="21">
        <f t="shared" si="1"/>
        <v>104403</v>
      </c>
      <c r="D13" s="46">
        <f>'[50]2021'!$K$3</f>
        <v>31065</v>
      </c>
      <c r="E13" s="46">
        <f>'[51]2021'!$K$4+'[51]2021'!$K$11</f>
        <v>2736</v>
      </c>
      <c r="F13" s="47">
        <f>'[52]2021'!$K$5</f>
        <v>3175</v>
      </c>
      <c r="G13" s="48">
        <f>'[50]2021'!$K$10</f>
        <v>9</v>
      </c>
      <c r="H13" s="48">
        <f>'[51]2021'!$K$6+'[51]2021'!$K$7+'[51]2021'!$K$12</f>
        <v>263</v>
      </c>
      <c r="I13" s="48">
        <f>'[50]2021'!$K$13</f>
        <v>246</v>
      </c>
      <c r="J13" s="48">
        <f>'[50]2021'!$K$14</f>
        <v>51</v>
      </c>
      <c r="K13" s="49">
        <f>'[50]2021'!$K$8+'[50]2021'!$K$15+'[50]2021'!$K$47</f>
        <v>1602</v>
      </c>
      <c r="L13" s="21">
        <f>'[50]2021'!$K$18</f>
        <v>268</v>
      </c>
      <c r="M13" s="46">
        <f>'[50]2021'!$K$46</f>
        <v>44339</v>
      </c>
      <c r="N13" s="46">
        <f>'[50]2021'!$K$17</f>
        <v>1274</v>
      </c>
      <c r="O13" s="46">
        <f>'[50]2021'!$K$44</f>
        <v>19375</v>
      </c>
    </row>
    <row r="14" spans="2:15" s="10" customFormat="1" ht="32.1" customHeight="1" x14ac:dyDescent="0.15">
      <c r="B14" s="55" t="s">
        <v>8</v>
      </c>
      <c r="C14" s="21">
        <f t="shared" si="1"/>
        <v>94251</v>
      </c>
      <c r="D14" s="46">
        <f>'[53]2021'!$L$3</f>
        <v>36833</v>
      </c>
      <c r="E14" s="46">
        <f>'[54]2021'!$L$4+'[54]2021'!$L$11</f>
        <v>2404</v>
      </c>
      <c r="F14" s="47">
        <f>'[55]2021'!$L$5</f>
        <v>1491</v>
      </c>
      <c r="G14" s="48">
        <f>'[53]2021'!$L$10</f>
        <v>20</v>
      </c>
      <c r="H14" s="48">
        <f>'[54]2021'!$L$6+'[54]2021'!$L$7+'[54]2021'!$L$12</f>
        <v>38</v>
      </c>
      <c r="I14" s="48">
        <f>'[53]2021'!$L$13</f>
        <v>77</v>
      </c>
      <c r="J14" s="48">
        <f>'[53]2021'!$L$14</f>
        <v>51</v>
      </c>
      <c r="K14" s="49">
        <f>'[53]2021'!$L$8+'[53]2021'!$L$15+'[53]2021'!$L$47</f>
        <v>957</v>
      </c>
      <c r="L14" s="21">
        <f>'[53]2021'!$L$18</f>
        <v>147</v>
      </c>
      <c r="M14" s="46">
        <f>'[53]2021'!$L$46</f>
        <v>35179</v>
      </c>
      <c r="N14" s="46">
        <f>'[53]2021'!$L$17</f>
        <v>546</v>
      </c>
      <c r="O14" s="46">
        <f>'[53]2021'!$L$44</f>
        <v>16508</v>
      </c>
    </row>
    <row r="15" spans="2:15" s="10" customFormat="1" ht="32.1" customHeight="1" x14ac:dyDescent="0.15">
      <c r="B15" s="55" t="s">
        <v>9</v>
      </c>
      <c r="C15" s="21">
        <f>SUM(D15:O15)</f>
        <v>121959</v>
      </c>
      <c r="D15" s="46">
        <f>'[56]2021'!$M$3</f>
        <v>42756</v>
      </c>
      <c r="E15" s="46">
        <f>5211+48</f>
        <v>5259</v>
      </c>
      <c r="F15" s="47">
        <f>'[57]2021'!$M$5</f>
        <v>2409</v>
      </c>
      <c r="G15" s="48">
        <f>'[56]2021'!$M$10</f>
        <v>44</v>
      </c>
      <c r="H15" s="48">
        <f>'[58]2021'!$M$6+'[58]2021'!$M$7+'[58]2021'!$M$12</f>
        <v>0</v>
      </c>
      <c r="I15" s="48">
        <f>'[56]2021'!$M$13</f>
        <v>39</v>
      </c>
      <c r="J15" s="48">
        <f>'[56]2021'!$M$14</f>
        <v>57</v>
      </c>
      <c r="K15" s="49">
        <f>'[56]2021'!$M$8+'[56]2021'!$M$15+'[56]2021'!$M$47</f>
        <v>1819</v>
      </c>
      <c r="L15" s="21">
        <f>'[56]2021'!$M$18</f>
        <v>287</v>
      </c>
      <c r="M15" s="46">
        <f>'[56]2021'!$M$46</f>
        <v>51754</v>
      </c>
      <c r="N15" s="46">
        <f>'[56]2021'!$M$17</f>
        <v>292</v>
      </c>
      <c r="O15" s="46">
        <f>'[56]2021'!$M$44</f>
        <v>17243</v>
      </c>
    </row>
    <row r="16" spans="2:15" s="10" customFormat="1" ht="32.1" customHeight="1" x14ac:dyDescent="0.15">
      <c r="B16" s="55" t="s">
        <v>10</v>
      </c>
      <c r="C16" s="21">
        <f t="shared" si="1"/>
        <v>112361</v>
      </c>
      <c r="D16" s="32">
        <v>41455</v>
      </c>
      <c r="E16" s="32">
        <f>2993+45</f>
        <v>3038</v>
      </c>
      <c r="F16" s="32">
        <v>1497</v>
      </c>
      <c r="G16" s="32">
        <v>24</v>
      </c>
      <c r="H16" s="21">
        <v>16</v>
      </c>
      <c r="I16" s="21">
        <v>71</v>
      </c>
      <c r="J16" s="21">
        <v>64</v>
      </c>
      <c r="K16" s="21">
        <f>88+2+1467</f>
        <v>1557</v>
      </c>
      <c r="L16" s="21">
        <v>257</v>
      </c>
      <c r="M16" s="32">
        <v>44871</v>
      </c>
      <c r="N16" s="32">
        <v>420</v>
      </c>
      <c r="O16" s="32">
        <v>19091</v>
      </c>
    </row>
    <row r="17" spans="2:15" s="10" customFormat="1" ht="32.1" customHeight="1" x14ac:dyDescent="0.15">
      <c r="B17" s="55" t="s">
        <v>11</v>
      </c>
      <c r="C17" s="21">
        <f t="shared" si="1"/>
        <v>131436</v>
      </c>
      <c r="D17" s="32">
        <v>51227</v>
      </c>
      <c r="E17" s="32">
        <f>3912+9</f>
        <v>3921</v>
      </c>
      <c r="F17" s="32">
        <v>3134</v>
      </c>
      <c r="G17" s="32">
        <v>20</v>
      </c>
      <c r="H17" s="21">
        <v>27</v>
      </c>
      <c r="I17" s="21">
        <v>59</v>
      </c>
      <c r="J17" s="21">
        <v>19</v>
      </c>
      <c r="K17" s="21">
        <f>437+60+1613</f>
        <v>2110</v>
      </c>
      <c r="L17" s="21">
        <v>166</v>
      </c>
      <c r="M17" s="32">
        <v>47471</v>
      </c>
      <c r="N17" s="32">
        <v>287</v>
      </c>
      <c r="O17" s="32">
        <v>22995</v>
      </c>
    </row>
  </sheetData>
  <mergeCells count="2">
    <mergeCell ref="B2:O2"/>
    <mergeCell ref="B3:O3"/>
  </mergeCells>
  <phoneticPr fontId="3" type="noConversion"/>
  <pageMargins left="1.1417322834645669" right="0.51181102362204722" top="1.1023622047244095" bottom="0.74803149606299213" header="0.31496062992125984" footer="0.31496062992125984"/>
  <pageSetup paperSize="9" scale="80" fitToWidth="2" fitToHeight="2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7"/>
  <sheetViews>
    <sheetView zoomScaleNormal="100" workbookViewId="0">
      <selection activeCell="V11" sqref="V11"/>
    </sheetView>
  </sheetViews>
  <sheetFormatPr defaultRowHeight="13.5" x14ac:dyDescent="0.15"/>
  <cols>
    <col min="1" max="1" width="3.77734375" customWidth="1"/>
    <col min="2" max="2" width="10.109375" customWidth="1"/>
    <col min="3" max="3" width="12.109375" customWidth="1"/>
    <col min="4" max="15" width="10.109375" customWidth="1"/>
  </cols>
  <sheetData>
    <row r="1" spans="2:15" ht="32.1" customHeight="1" x14ac:dyDescent="0.15"/>
    <row r="2" spans="2:15" s="35" customFormat="1" ht="39.950000000000003" customHeight="1" x14ac:dyDescent="0.15">
      <c r="B2" s="75" t="s">
        <v>228</v>
      </c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</row>
    <row r="3" spans="2:15" ht="32.1" customHeight="1" x14ac:dyDescent="0.15"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</row>
    <row r="4" spans="2:15" s="10" customFormat="1" ht="32.1" customHeight="1" x14ac:dyDescent="0.15">
      <c r="B4" s="52" t="s">
        <v>205</v>
      </c>
      <c r="C4" s="53" t="s">
        <v>14</v>
      </c>
      <c r="D4" s="53" t="s">
        <v>68</v>
      </c>
      <c r="E4" s="53" t="s">
        <v>69</v>
      </c>
      <c r="F4" s="53" t="s">
        <v>62</v>
      </c>
      <c r="G4" s="53" t="s">
        <v>157</v>
      </c>
      <c r="H4" s="53" t="s">
        <v>130</v>
      </c>
      <c r="I4" s="53" t="s">
        <v>177</v>
      </c>
      <c r="J4" s="53" t="s">
        <v>176</v>
      </c>
      <c r="K4" s="53" t="s">
        <v>63</v>
      </c>
      <c r="L4" s="53" t="s">
        <v>160</v>
      </c>
      <c r="M4" s="53" t="s">
        <v>151</v>
      </c>
      <c r="N4" s="53" t="s">
        <v>149</v>
      </c>
      <c r="O4" s="53" t="s">
        <v>150</v>
      </c>
    </row>
    <row r="5" spans="2:15" s="10" customFormat="1" ht="32.1" customHeight="1" x14ac:dyDescent="0.15">
      <c r="B5" s="53" t="s">
        <v>210</v>
      </c>
      <c r="C5" s="54">
        <f>SUM(C6:C17)</f>
        <v>1635790</v>
      </c>
      <c r="D5" s="54">
        <f t="shared" ref="D5:O5" si="0">SUM(D6:D17)</f>
        <v>592468</v>
      </c>
      <c r="E5" s="54">
        <f t="shared" si="0"/>
        <v>85375</v>
      </c>
      <c r="F5" s="54">
        <f t="shared" si="0"/>
        <v>34593</v>
      </c>
      <c r="G5" s="54">
        <f t="shared" si="0"/>
        <v>751</v>
      </c>
      <c r="H5" s="54">
        <f t="shared" si="0"/>
        <v>2016</v>
      </c>
      <c r="I5" s="54">
        <f t="shared" si="0"/>
        <v>621</v>
      </c>
      <c r="J5" s="54">
        <f t="shared" si="0"/>
        <v>729</v>
      </c>
      <c r="K5" s="54">
        <f t="shared" si="0"/>
        <v>24523</v>
      </c>
      <c r="L5" s="54">
        <f t="shared" si="0"/>
        <v>726</v>
      </c>
      <c r="M5" s="54">
        <f t="shared" si="0"/>
        <v>556739</v>
      </c>
      <c r="N5" s="54">
        <f t="shared" si="0"/>
        <v>13584</v>
      </c>
      <c r="O5" s="54">
        <f t="shared" si="0"/>
        <v>323665</v>
      </c>
    </row>
    <row r="6" spans="2:15" s="10" customFormat="1" ht="32.1" customHeight="1" x14ac:dyDescent="0.15">
      <c r="B6" s="55" t="s">
        <v>0</v>
      </c>
      <c r="C6" s="37">
        <f>SUM(D6:O6)</f>
        <v>142514</v>
      </c>
      <c r="D6" s="50">
        <v>52274</v>
      </c>
      <c r="E6" s="50">
        <f>697+31</f>
        <v>728</v>
      </c>
      <c r="F6" s="50">
        <v>2148</v>
      </c>
      <c r="G6" s="50">
        <v>143</v>
      </c>
      <c r="H6" s="51">
        <v>280</v>
      </c>
      <c r="I6" s="51">
        <v>95</v>
      </c>
      <c r="J6" s="51">
        <v>52</v>
      </c>
      <c r="K6" s="51">
        <v>2483</v>
      </c>
      <c r="L6" s="51">
        <v>78</v>
      </c>
      <c r="M6" s="50">
        <v>62597</v>
      </c>
      <c r="N6" s="50">
        <v>407</v>
      </c>
      <c r="O6" s="50">
        <v>21229</v>
      </c>
    </row>
    <row r="7" spans="2:15" s="10" customFormat="1" ht="32.1" customHeight="1" x14ac:dyDescent="0.15">
      <c r="B7" s="55" t="s">
        <v>1</v>
      </c>
      <c r="C7" s="21">
        <f t="shared" ref="C7:C17" si="1">SUM(D7:O7)</f>
        <v>110725</v>
      </c>
      <c r="D7" s="45">
        <v>42248</v>
      </c>
      <c r="E7" s="45">
        <f>3525+29</f>
        <v>3554</v>
      </c>
      <c r="F7" s="45">
        <v>3342</v>
      </c>
      <c r="G7" s="45">
        <v>22</v>
      </c>
      <c r="H7" s="45">
        <v>10</v>
      </c>
      <c r="I7" s="45">
        <v>78</v>
      </c>
      <c r="J7" s="45">
        <v>27</v>
      </c>
      <c r="K7" s="45">
        <v>1013</v>
      </c>
      <c r="L7" s="45">
        <v>155</v>
      </c>
      <c r="M7" s="45">
        <v>40080</v>
      </c>
      <c r="N7" s="45">
        <v>954</v>
      </c>
      <c r="O7" s="45">
        <v>19242</v>
      </c>
    </row>
    <row r="8" spans="2:15" s="10" customFormat="1" ht="32.1" customHeight="1" x14ac:dyDescent="0.15">
      <c r="B8" s="55" t="s">
        <v>2</v>
      </c>
      <c r="C8" s="21">
        <f t="shared" si="1"/>
        <v>139673</v>
      </c>
      <c r="D8" s="46">
        <v>53174</v>
      </c>
      <c r="E8" s="46">
        <f>5226+55</f>
        <v>5281</v>
      </c>
      <c r="F8" s="46">
        <v>2359</v>
      </c>
      <c r="G8" s="46">
        <v>94</v>
      </c>
      <c r="H8" s="21">
        <v>14</v>
      </c>
      <c r="I8" s="21">
        <v>64</v>
      </c>
      <c r="J8" s="21">
        <v>63</v>
      </c>
      <c r="K8" s="21">
        <v>1533</v>
      </c>
      <c r="L8" s="21">
        <v>155</v>
      </c>
      <c r="M8" s="46">
        <v>53397</v>
      </c>
      <c r="N8" s="45">
        <v>548</v>
      </c>
      <c r="O8" s="46">
        <v>22991</v>
      </c>
    </row>
    <row r="9" spans="2:15" s="10" customFormat="1" ht="32.1" customHeight="1" x14ac:dyDescent="0.15">
      <c r="B9" s="57" t="s">
        <v>3</v>
      </c>
      <c r="C9" s="58">
        <f t="shared" si="1"/>
        <v>132600</v>
      </c>
      <c r="D9" s="59">
        <v>47595</v>
      </c>
      <c r="E9" s="59">
        <f>7094+43</f>
        <v>7137</v>
      </c>
      <c r="F9" s="49">
        <v>2666</v>
      </c>
      <c r="G9" s="60">
        <v>86</v>
      </c>
      <c r="H9" s="60">
        <v>530</v>
      </c>
      <c r="I9" s="60">
        <v>0</v>
      </c>
      <c r="J9" s="60">
        <v>61</v>
      </c>
      <c r="K9" s="49">
        <v>2359</v>
      </c>
      <c r="L9" s="58">
        <v>84</v>
      </c>
      <c r="M9" s="59">
        <v>42968</v>
      </c>
      <c r="N9" s="59">
        <v>1330</v>
      </c>
      <c r="O9" s="59">
        <v>27784</v>
      </c>
    </row>
    <row r="10" spans="2:15" s="10" customFormat="1" ht="32.1" customHeight="1" x14ac:dyDescent="0.15">
      <c r="B10" s="55" t="s">
        <v>4</v>
      </c>
      <c r="C10" s="21">
        <f t="shared" si="1"/>
        <v>137476</v>
      </c>
      <c r="D10" s="44">
        <v>48619</v>
      </c>
      <c r="E10" s="44">
        <f>7690+6</f>
        <v>7696</v>
      </c>
      <c r="F10" s="48">
        <v>4453</v>
      </c>
      <c r="G10" s="48">
        <v>274</v>
      </c>
      <c r="H10" s="48">
        <v>102</v>
      </c>
      <c r="I10" s="48">
        <v>164</v>
      </c>
      <c r="J10" s="48">
        <v>12</v>
      </c>
      <c r="K10" s="47">
        <v>1567</v>
      </c>
      <c r="L10" s="21">
        <v>55</v>
      </c>
      <c r="M10" s="46">
        <v>45025</v>
      </c>
      <c r="N10" s="46">
        <v>1093</v>
      </c>
      <c r="O10" s="46">
        <v>28416</v>
      </c>
    </row>
    <row r="11" spans="2:15" s="10" customFormat="1" ht="32.1" customHeight="1" x14ac:dyDescent="0.15">
      <c r="B11" s="61" t="s">
        <v>5</v>
      </c>
      <c r="C11" s="62">
        <f t="shared" si="1"/>
        <v>112428</v>
      </c>
      <c r="D11" s="63">
        <v>41218</v>
      </c>
      <c r="E11" s="63">
        <f>5009+43</f>
        <v>5052</v>
      </c>
      <c r="F11" s="64">
        <v>3802</v>
      </c>
      <c r="G11" s="65">
        <v>2</v>
      </c>
      <c r="H11" s="65">
        <v>520</v>
      </c>
      <c r="I11" s="65">
        <v>0</v>
      </c>
      <c r="J11" s="65">
        <v>45</v>
      </c>
      <c r="K11" s="66">
        <v>869</v>
      </c>
      <c r="L11" s="62">
        <v>16</v>
      </c>
      <c r="M11" s="63">
        <v>37744</v>
      </c>
      <c r="N11" s="63">
        <v>710</v>
      </c>
      <c r="O11" s="63">
        <v>22450</v>
      </c>
    </row>
    <row r="12" spans="2:15" s="10" customFormat="1" ht="32.1" customHeight="1" x14ac:dyDescent="0.15">
      <c r="B12" s="55" t="s">
        <v>6</v>
      </c>
      <c r="C12" s="21">
        <f t="shared" si="1"/>
        <v>164321</v>
      </c>
      <c r="D12" s="46">
        <v>60636</v>
      </c>
      <c r="E12" s="46">
        <f>11202+25</f>
        <v>11227</v>
      </c>
      <c r="F12" s="47">
        <v>4006</v>
      </c>
      <c r="G12" s="48">
        <v>25</v>
      </c>
      <c r="H12" s="48">
        <v>424</v>
      </c>
      <c r="I12" s="48">
        <v>42</v>
      </c>
      <c r="J12" s="48">
        <v>87</v>
      </c>
      <c r="K12" s="49">
        <v>3553</v>
      </c>
      <c r="L12" s="21">
        <v>73</v>
      </c>
      <c r="M12" s="46">
        <v>56415</v>
      </c>
      <c r="N12" s="46">
        <v>507</v>
      </c>
      <c r="O12" s="46">
        <v>27326</v>
      </c>
    </row>
    <row r="13" spans="2:15" s="10" customFormat="1" ht="32.1" customHeight="1" x14ac:dyDescent="0.15">
      <c r="B13" s="55" t="s">
        <v>7</v>
      </c>
      <c r="C13" s="21">
        <f t="shared" si="1"/>
        <v>140421</v>
      </c>
      <c r="D13" s="46">
        <v>43715</v>
      </c>
      <c r="E13" s="46">
        <f>8749+0</f>
        <v>8749</v>
      </c>
      <c r="F13" s="47">
        <v>0</v>
      </c>
      <c r="G13" s="48">
        <v>19</v>
      </c>
      <c r="H13" s="48">
        <v>0</v>
      </c>
      <c r="I13" s="48">
        <v>0</v>
      </c>
      <c r="J13" s="48">
        <v>81</v>
      </c>
      <c r="K13" s="49">
        <v>2263</v>
      </c>
      <c r="L13" s="21">
        <v>65</v>
      </c>
      <c r="M13" s="46">
        <v>48204</v>
      </c>
      <c r="N13" s="46">
        <v>1586</v>
      </c>
      <c r="O13" s="46">
        <v>35739</v>
      </c>
    </row>
    <row r="14" spans="2:15" s="10" customFormat="1" ht="32.1" customHeight="1" x14ac:dyDescent="0.15">
      <c r="B14" s="55" t="s">
        <v>8</v>
      </c>
      <c r="C14" s="21">
        <f t="shared" si="1"/>
        <v>126567</v>
      </c>
      <c r="D14" s="46">
        <v>47377</v>
      </c>
      <c r="E14" s="46">
        <f>8983+14</f>
        <v>8997</v>
      </c>
      <c r="F14" s="47">
        <v>2656</v>
      </c>
      <c r="G14" s="48">
        <v>3</v>
      </c>
      <c r="H14" s="48">
        <v>2</v>
      </c>
      <c r="I14" s="48">
        <v>36</v>
      </c>
      <c r="J14" s="48">
        <v>77</v>
      </c>
      <c r="K14" s="49">
        <v>2218</v>
      </c>
      <c r="L14" s="21">
        <v>23</v>
      </c>
      <c r="M14" s="46">
        <v>41880</v>
      </c>
      <c r="N14" s="46">
        <v>2110</v>
      </c>
      <c r="O14" s="46">
        <v>21188</v>
      </c>
    </row>
    <row r="15" spans="2:15" s="10" customFormat="1" ht="32.1" customHeight="1" x14ac:dyDescent="0.15">
      <c r="B15" s="55" t="s">
        <v>9</v>
      </c>
      <c r="C15" s="21">
        <f t="shared" si="1"/>
        <v>140063</v>
      </c>
      <c r="D15" s="46">
        <v>47909</v>
      </c>
      <c r="E15" s="46">
        <f>7592+92</f>
        <v>7684</v>
      </c>
      <c r="F15" s="47">
        <v>2797</v>
      </c>
      <c r="G15" s="48">
        <v>7</v>
      </c>
      <c r="H15" s="48">
        <v>105</v>
      </c>
      <c r="I15" s="48">
        <v>19</v>
      </c>
      <c r="J15" s="48">
        <v>94</v>
      </c>
      <c r="K15" s="49">
        <v>433</v>
      </c>
      <c r="L15" s="21">
        <v>0</v>
      </c>
      <c r="M15" s="46">
        <v>40377</v>
      </c>
      <c r="N15" s="46">
        <v>1742</v>
      </c>
      <c r="O15" s="46">
        <v>38896</v>
      </c>
    </row>
    <row r="16" spans="2:15" s="10" customFormat="1" ht="32.1" customHeight="1" x14ac:dyDescent="0.15">
      <c r="B16" s="55" t="s">
        <v>10</v>
      </c>
      <c r="C16" s="21">
        <f t="shared" si="1"/>
        <v>141047</v>
      </c>
      <c r="D16" s="32">
        <v>52889</v>
      </c>
      <c r="E16" s="32">
        <v>9139</v>
      </c>
      <c r="F16" s="32">
        <v>2711</v>
      </c>
      <c r="G16" s="32">
        <v>71</v>
      </c>
      <c r="H16" s="21">
        <v>18</v>
      </c>
      <c r="I16" s="21">
        <v>67</v>
      </c>
      <c r="J16" s="21">
        <v>87</v>
      </c>
      <c r="K16" s="21">
        <v>1401</v>
      </c>
      <c r="L16" s="21">
        <v>10</v>
      </c>
      <c r="M16" s="32">
        <v>42251</v>
      </c>
      <c r="N16" s="32">
        <v>954</v>
      </c>
      <c r="O16" s="32">
        <v>31449</v>
      </c>
    </row>
    <row r="17" spans="2:15" s="10" customFormat="1" ht="32.1" customHeight="1" x14ac:dyDescent="0.15">
      <c r="B17" s="55" t="s">
        <v>11</v>
      </c>
      <c r="C17" s="21">
        <f t="shared" si="1"/>
        <v>147955</v>
      </c>
      <c r="D17" s="32">
        <v>54814</v>
      </c>
      <c r="E17" s="32">
        <f>10128+3</f>
        <v>10131</v>
      </c>
      <c r="F17" s="32">
        <v>3653</v>
      </c>
      <c r="G17" s="32">
        <v>5</v>
      </c>
      <c r="H17" s="21">
        <v>11</v>
      </c>
      <c r="I17" s="21">
        <v>56</v>
      </c>
      <c r="J17" s="21">
        <v>43</v>
      </c>
      <c r="K17" s="21">
        <v>4831</v>
      </c>
      <c r="L17" s="21">
        <v>12</v>
      </c>
      <c r="M17" s="32">
        <v>45801</v>
      </c>
      <c r="N17" s="32">
        <v>1643</v>
      </c>
      <c r="O17" s="32">
        <v>26955</v>
      </c>
    </row>
  </sheetData>
  <mergeCells count="2">
    <mergeCell ref="B2:O2"/>
    <mergeCell ref="B3:O3"/>
  </mergeCells>
  <phoneticPr fontId="3" type="noConversion"/>
  <pageMargins left="1.1417322834645669" right="0.51181102362204722" top="1.1023622047244095" bottom="0.74803149606299213" header="0.31496062992125984" footer="0.31496062992125984"/>
  <pageSetup paperSize="9" scale="80" fitToWidth="2" fitToHeight="2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17"/>
  <sheetViews>
    <sheetView zoomScaleNormal="100" workbookViewId="0">
      <selection activeCell="C5" sqref="C5"/>
    </sheetView>
  </sheetViews>
  <sheetFormatPr defaultRowHeight="13.5" x14ac:dyDescent="0.15"/>
  <cols>
    <col min="1" max="1" width="3.77734375" customWidth="1"/>
    <col min="2" max="2" width="10.109375" customWidth="1"/>
    <col min="3" max="3" width="12.109375" customWidth="1"/>
    <col min="4" max="15" width="10.109375" customWidth="1"/>
  </cols>
  <sheetData>
    <row r="1" spans="2:15" ht="32.1" customHeight="1" x14ac:dyDescent="0.15"/>
    <row r="2" spans="2:15" s="35" customFormat="1" ht="39.950000000000003" customHeight="1" x14ac:dyDescent="0.15">
      <c r="B2" s="75" t="s">
        <v>229</v>
      </c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</row>
    <row r="3" spans="2:15" ht="32.1" customHeight="1" x14ac:dyDescent="0.15"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</row>
    <row r="4" spans="2:15" s="10" customFormat="1" ht="32.1" customHeight="1" x14ac:dyDescent="0.15">
      <c r="B4" s="52" t="s">
        <v>205</v>
      </c>
      <c r="C4" s="53" t="s">
        <v>14</v>
      </c>
      <c r="D4" s="53" t="s">
        <v>68</v>
      </c>
      <c r="E4" s="53" t="s">
        <v>69</v>
      </c>
      <c r="F4" s="53" t="s">
        <v>62</v>
      </c>
      <c r="G4" s="53" t="s">
        <v>157</v>
      </c>
      <c r="H4" s="53" t="s">
        <v>130</v>
      </c>
      <c r="I4" s="53" t="s">
        <v>177</v>
      </c>
      <c r="J4" s="53" t="s">
        <v>176</v>
      </c>
      <c r="K4" s="53" t="s">
        <v>63</v>
      </c>
      <c r="L4" s="53" t="s">
        <v>160</v>
      </c>
      <c r="M4" s="53" t="s">
        <v>151</v>
      </c>
      <c r="N4" s="53" t="s">
        <v>149</v>
      </c>
      <c r="O4" s="53" t="s">
        <v>150</v>
      </c>
    </row>
    <row r="5" spans="2:15" s="10" customFormat="1" ht="32.1" customHeight="1" x14ac:dyDescent="0.15">
      <c r="B5" s="53" t="s">
        <v>214</v>
      </c>
      <c r="C5" s="54">
        <f>SUM(C6:C17)</f>
        <v>1616558</v>
      </c>
      <c r="D5" s="54">
        <f t="shared" ref="D5:O5" si="0">SUM(D6:D17)</f>
        <v>633628</v>
      </c>
      <c r="E5" s="54">
        <f t="shared" si="0"/>
        <v>112020</v>
      </c>
      <c r="F5" s="54">
        <f t="shared" si="0"/>
        <v>18207</v>
      </c>
      <c r="G5" s="54">
        <f t="shared" si="0"/>
        <v>854</v>
      </c>
      <c r="H5" s="54">
        <f t="shared" si="0"/>
        <v>458</v>
      </c>
      <c r="I5" s="54">
        <f t="shared" si="0"/>
        <v>1671</v>
      </c>
      <c r="J5" s="54">
        <f t="shared" si="0"/>
        <v>634</v>
      </c>
      <c r="K5" s="54">
        <f t="shared" si="0"/>
        <v>20007</v>
      </c>
      <c r="L5" s="54">
        <f t="shared" si="0"/>
        <v>1101</v>
      </c>
      <c r="M5" s="54">
        <f t="shared" si="0"/>
        <v>507089</v>
      </c>
      <c r="N5" s="54">
        <f t="shared" si="0"/>
        <v>13624</v>
      </c>
      <c r="O5" s="54">
        <f t="shared" si="0"/>
        <v>307265</v>
      </c>
    </row>
    <row r="6" spans="2:15" s="10" customFormat="1" ht="32.1" customHeight="1" x14ac:dyDescent="0.15">
      <c r="B6" s="55" t="s">
        <v>0</v>
      </c>
      <c r="C6" s="37">
        <f>SUM(D6:O6)</f>
        <v>152953</v>
      </c>
      <c r="D6" s="50">
        <v>49805</v>
      </c>
      <c r="E6" s="50">
        <f>7839+18</f>
        <v>7857</v>
      </c>
      <c r="F6" s="50">
        <v>1682</v>
      </c>
      <c r="G6" s="50">
        <v>27</v>
      </c>
      <c r="H6" s="51">
        <v>85</v>
      </c>
      <c r="I6" s="51">
        <v>114</v>
      </c>
      <c r="J6" s="51">
        <v>100</v>
      </c>
      <c r="K6" s="51">
        <f>1937+128</f>
        <v>2065</v>
      </c>
      <c r="L6" s="51">
        <v>28</v>
      </c>
      <c r="M6" s="50">
        <v>55944</v>
      </c>
      <c r="N6" s="50">
        <v>1602</v>
      </c>
      <c r="O6" s="50">
        <v>33644</v>
      </c>
    </row>
    <row r="7" spans="2:15" s="10" customFormat="1" ht="32.1" customHeight="1" x14ac:dyDescent="0.15">
      <c r="B7" s="55" t="s">
        <v>1</v>
      </c>
      <c r="C7" s="21">
        <f t="shared" ref="C7:C17" si="1">SUM(D7:O7)</f>
        <v>133698</v>
      </c>
      <c r="D7" s="45">
        <v>56069</v>
      </c>
      <c r="E7" s="45">
        <f>9581+27</f>
        <v>9608</v>
      </c>
      <c r="F7" s="45">
        <v>1397</v>
      </c>
      <c r="G7" s="45">
        <v>72</v>
      </c>
      <c r="H7" s="45">
        <v>25</v>
      </c>
      <c r="I7" s="45">
        <v>229</v>
      </c>
      <c r="J7" s="45">
        <v>46</v>
      </c>
      <c r="K7" s="45">
        <f>598+20</f>
        <v>618</v>
      </c>
      <c r="L7" s="45">
        <v>35</v>
      </c>
      <c r="M7" s="45">
        <v>42701</v>
      </c>
      <c r="N7" s="45">
        <v>1067</v>
      </c>
      <c r="O7" s="45">
        <v>21831</v>
      </c>
    </row>
    <row r="8" spans="2:15" s="10" customFormat="1" ht="32.1" customHeight="1" x14ac:dyDescent="0.15">
      <c r="B8" s="55" t="s">
        <v>2</v>
      </c>
      <c r="C8" s="21">
        <f t="shared" si="1"/>
        <v>170077</v>
      </c>
      <c r="D8" s="46">
        <v>61943</v>
      </c>
      <c r="E8" s="46">
        <f>10833+1</f>
        <v>10834</v>
      </c>
      <c r="F8" s="46">
        <v>1566</v>
      </c>
      <c r="G8" s="46">
        <v>164</v>
      </c>
      <c r="H8" s="21">
        <v>31</v>
      </c>
      <c r="I8" s="21">
        <v>110</v>
      </c>
      <c r="J8" s="21">
        <v>67</v>
      </c>
      <c r="K8" s="21">
        <f>430+2+1620</f>
        <v>2052</v>
      </c>
      <c r="L8" s="21">
        <v>105</v>
      </c>
      <c r="M8" s="46">
        <v>60994</v>
      </c>
      <c r="N8" s="45">
        <v>929</v>
      </c>
      <c r="O8" s="46">
        <v>31282</v>
      </c>
    </row>
    <row r="9" spans="2:15" s="10" customFormat="1" ht="32.1" customHeight="1" x14ac:dyDescent="0.15">
      <c r="B9" s="55" t="s">
        <v>3</v>
      </c>
      <c r="C9" s="21">
        <f t="shared" si="1"/>
        <v>145176</v>
      </c>
      <c r="D9" s="46">
        <v>57397</v>
      </c>
      <c r="E9" s="46">
        <v>10276</v>
      </c>
      <c r="F9" s="47">
        <v>1188</v>
      </c>
      <c r="G9" s="48">
        <v>4</v>
      </c>
      <c r="H9" s="48">
        <v>28</v>
      </c>
      <c r="I9" s="48">
        <v>79</v>
      </c>
      <c r="J9" s="48">
        <v>101</v>
      </c>
      <c r="K9" s="49">
        <f>2494+31+5</f>
        <v>2530</v>
      </c>
      <c r="L9" s="21">
        <v>152</v>
      </c>
      <c r="M9" s="46">
        <v>43180</v>
      </c>
      <c r="N9" s="46">
        <v>919</v>
      </c>
      <c r="O9" s="46">
        <v>29322</v>
      </c>
    </row>
    <row r="10" spans="2:15" s="10" customFormat="1" ht="32.1" customHeight="1" x14ac:dyDescent="0.15">
      <c r="B10" s="55" t="s">
        <v>4</v>
      </c>
      <c r="C10" s="21">
        <f t="shared" si="1"/>
        <v>149334</v>
      </c>
      <c r="D10" s="46">
        <v>60009</v>
      </c>
      <c r="E10" s="46">
        <f>8251+6</f>
        <v>8257</v>
      </c>
      <c r="F10" s="47">
        <v>1844</v>
      </c>
      <c r="G10" s="48">
        <v>120</v>
      </c>
      <c r="H10" s="48">
        <v>10</v>
      </c>
      <c r="I10" s="48">
        <v>153</v>
      </c>
      <c r="J10" s="48">
        <v>34</v>
      </c>
      <c r="K10" s="49">
        <f>374+0+1569+50</f>
        <v>1993</v>
      </c>
      <c r="L10" s="21">
        <v>209</v>
      </c>
      <c r="M10" s="46">
        <v>43860</v>
      </c>
      <c r="N10" s="46">
        <v>1665</v>
      </c>
      <c r="O10" s="46">
        <v>31180</v>
      </c>
    </row>
    <row r="11" spans="2:15" s="10" customFormat="1" ht="32.1" customHeight="1" x14ac:dyDescent="0.15">
      <c r="B11" s="55" t="s">
        <v>5</v>
      </c>
      <c r="C11" s="21">
        <f t="shared" si="1"/>
        <v>128076</v>
      </c>
      <c r="D11" s="46">
        <v>53802</v>
      </c>
      <c r="E11" s="46">
        <f>9219+17</f>
        <v>9236</v>
      </c>
      <c r="F11" s="47">
        <v>1887</v>
      </c>
      <c r="G11" s="48">
        <v>144</v>
      </c>
      <c r="H11" s="48">
        <v>100</v>
      </c>
      <c r="I11" s="48">
        <v>201</v>
      </c>
      <c r="J11" s="48">
        <v>15</v>
      </c>
      <c r="K11" s="49">
        <f>1452+230</f>
        <v>1682</v>
      </c>
      <c r="L11" s="21">
        <v>121</v>
      </c>
      <c r="M11" s="46">
        <v>33886</v>
      </c>
      <c r="N11" s="46">
        <v>1962</v>
      </c>
      <c r="O11" s="46">
        <v>25040</v>
      </c>
    </row>
    <row r="12" spans="2:15" s="10" customFormat="1" ht="32.1" customHeight="1" x14ac:dyDescent="0.15">
      <c r="B12" s="55" t="s">
        <v>6</v>
      </c>
      <c r="C12" s="21">
        <f t="shared" si="1"/>
        <v>142899</v>
      </c>
      <c r="D12" s="46">
        <v>55053</v>
      </c>
      <c r="E12" s="46">
        <f>63+10148</f>
        <v>10211</v>
      </c>
      <c r="F12" s="47">
        <v>2301</v>
      </c>
      <c r="G12" s="48">
        <v>31</v>
      </c>
      <c r="H12" s="48">
        <v>30</v>
      </c>
      <c r="I12" s="48">
        <v>354</v>
      </c>
      <c r="J12" s="48">
        <v>72</v>
      </c>
      <c r="K12" s="49">
        <f>28+1327</f>
        <v>1355</v>
      </c>
      <c r="L12" s="21">
        <v>69</v>
      </c>
      <c r="M12" s="46">
        <v>47841</v>
      </c>
      <c r="N12" s="46">
        <v>1419</v>
      </c>
      <c r="O12" s="46">
        <v>24163</v>
      </c>
    </row>
    <row r="13" spans="2:15" s="10" customFormat="1" ht="32.1" customHeight="1" x14ac:dyDescent="0.15">
      <c r="B13" s="55" t="s">
        <v>7</v>
      </c>
      <c r="C13" s="21">
        <f t="shared" si="1"/>
        <v>105008</v>
      </c>
      <c r="D13" s="46">
        <v>44293</v>
      </c>
      <c r="E13" s="46">
        <f>6588+28</f>
        <v>6616</v>
      </c>
      <c r="F13" s="47">
        <v>1462</v>
      </c>
      <c r="G13" s="48">
        <v>101</v>
      </c>
      <c r="H13" s="48">
        <v>55</v>
      </c>
      <c r="I13" s="48">
        <v>140</v>
      </c>
      <c r="J13" s="48">
        <v>12</v>
      </c>
      <c r="K13" s="49">
        <f>1290+78</f>
        <v>1368</v>
      </c>
      <c r="L13" s="21">
        <v>62</v>
      </c>
      <c r="M13" s="46">
        <v>28979</v>
      </c>
      <c r="N13" s="46">
        <v>1353</v>
      </c>
      <c r="O13" s="46">
        <v>20567</v>
      </c>
    </row>
    <row r="14" spans="2:15" s="10" customFormat="1" ht="32.1" customHeight="1" x14ac:dyDescent="0.15">
      <c r="B14" s="55" t="s">
        <v>8</v>
      </c>
      <c r="C14" s="21">
        <f t="shared" si="1"/>
        <v>107713</v>
      </c>
      <c r="D14" s="46">
        <v>42903</v>
      </c>
      <c r="E14" s="46">
        <v>7872</v>
      </c>
      <c r="F14" s="47">
        <v>2060</v>
      </c>
      <c r="G14" s="48">
        <v>45</v>
      </c>
      <c r="H14" s="48">
        <v>61</v>
      </c>
      <c r="I14" s="48">
        <v>102</v>
      </c>
      <c r="J14" s="48">
        <v>40</v>
      </c>
      <c r="K14" s="49">
        <v>1756</v>
      </c>
      <c r="L14" s="21">
        <v>86</v>
      </c>
      <c r="M14" s="46">
        <v>31712</v>
      </c>
      <c r="N14" s="46">
        <v>1153</v>
      </c>
      <c r="O14" s="46">
        <v>19923</v>
      </c>
    </row>
    <row r="15" spans="2:15" s="10" customFormat="1" ht="32.1" customHeight="1" x14ac:dyDescent="0.15">
      <c r="B15" s="55" t="s">
        <v>9</v>
      </c>
      <c r="C15" s="21">
        <f t="shared" si="1"/>
        <v>105217</v>
      </c>
      <c r="D15" s="46">
        <v>40703</v>
      </c>
      <c r="E15" s="46">
        <v>9632</v>
      </c>
      <c r="F15" s="47">
        <v>1665</v>
      </c>
      <c r="G15" s="48">
        <v>34</v>
      </c>
      <c r="H15" s="48">
        <v>0</v>
      </c>
      <c r="I15" s="48">
        <v>70</v>
      </c>
      <c r="J15" s="48">
        <v>76</v>
      </c>
      <c r="K15" s="49">
        <v>1147</v>
      </c>
      <c r="L15" s="21">
        <v>67</v>
      </c>
      <c r="M15" s="46">
        <v>24429</v>
      </c>
      <c r="N15" s="46">
        <v>297</v>
      </c>
      <c r="O15" s="46">
        <v>27097</v>
      </c>
    </row>
    <row r="16" spans="2:15" s="10" customFormat="1" ht="32.1" customHeight="1" x14ac:dyDescent="0.15">
      <c r="B16" s="55" t="s">
        <v>10</v>
      </c>
      <c r="C16" s="21">
        <f t="shared" si="1"/>
        <v>137964</v>
      </c>
      <c r="D16" s="32">
        <v>55916</v>
      </c>
      <c r="E16" s="32">
        <v>11799</v>
      </c>
      <c r="F16" s="32">
        <v>764</v>
      </c>
      <c r="G16" s="32">
        <v>93</v>
      </c>
      <c r="H16" s="21">
        <v>13</v>
      </c>
      <c r="I16" s="21">
        <v>77</v>
      </c>
      <c r="J16" s="21">
        <v>10</v>
      </c>
      <c r="K16" s="21">
        <v>2286</v>
      </c>
      <c r="L16" s="21">
        <v>106</v>
      </c>
      <c r="M16" s="32">
        <v>42711</v>
      </c>
      <c r="N16" s="32">
        <v>668</v>
      </c>
      <c r="O16" s="32">
        <v>23521</v>
      </c>
    </row>
    <row r="17" spans="2:15" s="10" customFormat="1" ht="32.1" customHeight="1" x14ac:dyDescent="0.15">
      <c r="B17" s="55" t="s">
        <v>11</v>
      </c>
      <c r="C17" s="21">
        <f t="shared" si="1"/>
        <v>138443</v>
      </c>
      <c r="D17" s="32">
        <v>55735</v>
      </c>
      <c r="E17" s="32">
        <v>9822</v>
      </c>
      <c r="F17" s="32">
        <v>391</v>
      </c>
      <c r="G17" s="32">
        <v>19</v>
      </c>
      <c r="H17" s="21">
        <v>20</v>
      </c>
      <c r="I17" s="21">
        <v>42</v>
      </c>
      <c r="J17" s="21">
        <v>61</v>
      </c>
      <c r="K17" s="21">
        <v>1155</v>
      </c>
      <c r="L17" s="21">
        <v>61</v>
      </c>
      <c r="M17" s="32">
        <v>50852</v>
      </c>
      <c r="N17" s="32">
        <v>590</v>
      </c>
      <c r="O17" s="32">
        <v>19695</v>
      </c>
    </row>
  </sheetData>
  <mergeCells count="2">
    <mergeCell ref="B2:O2"/>
    <mergeCell ref="B3:O3"/>
  </mergeCells>
  <phoneticPr fontId="3" type="noConversion"/>
  <pageMargins left="1.1417322834645669" right="0.51181102362204722" top="1.1023622047244095" bottom="0.74803149606299213" header="0.31496062992125984" footer="0.31496062992125984"/>
  <pageSetup paperSize="9" scale="86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17"/>
  <sheetViews>
    <sheetView topLeftCell="A4" zoomScaleNormal="100" workbookViewId="0">
      <selection activeCell="B4" sqref="B4:O17"/>
    </sheetView>
  </sheetViews>
  <sheetFormatPr defaultRowHeight="13.5" x14ac:dyDescent="0.15"/>
  <cols>
    <col min="1" max="1" width="3.77734375" customWidth="1"/>
    <col min="2" max="2" width="10.109375" customWidth="1"/>
    <col min="3" max="3" width="12.109375" customWidth="1"/>
    <col min="4" max="15" width="10.109375" customWidth="1"/>
  </cols>
  <sheetData>
    <row r="1" spans="2:15" ht="32.1" customHeight="1" x14ac:dyDescent="0.15"/>
    <row r="2" spans="2:15" s="35" customFormat="1" ht="39.950000000000003" customHeight="1" x14ac:dyDescent="0.15">
      <c r="B2" s="75" t="s">
        <v>231</v>
      </c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</row>
    <row r="3" spans="2:15" ht="32.1" customHeight="1" x14ac:dyDescent="0.15"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</row>
    <row r="4" spans="2:15" s="10" customFormat="1" ht="32.1" customHeight="1" x14ac:dyDescent="0.15">
      <c r="B4" s="52" t="s">
        <v>235</v>
      </c>
      <c r="C4" s="53" t="s">
        <v>236</v>
      </c>
      <c r="D4" s="53" t="s">
        <v>237</v>
      </c>
      <c r="E4" s="53" t="s">
        <v>238</v>
      </c>
      <c r="F4" s="53" t="s">
        <v>239</v>
      </c>
      <c r="G4" s="53" t="s">
        <v>240</v>
      </c>
      <c r="H4" s="53" t="s">
        <v>241</v>
      </c>
      <c r="I4" s="53" t="s">
        <v>242</v>
      </c>
      <c r="J4" s="53" t="s">
        <v>243</v>
      </c>
      <c r="K4" s="53" t="s">
        <v>244</v>
      </c>
      <c r="L4" s="53" t="s">
        <v>245</v>
      </c>
      <c r="M4" s="53" t="s">
        <v>246</v>
      </c>
      <c r="N4" s="53" t="s">
        <v>247</v>
      </c>
      <c r="O4" s="53" t="s">
        <v>248</v>
      </c>
    </row>
    <row r="5" spans="2:15" s="10" customFormat="1" ht="32.1" customHeight="1" x14ac:dyDescent="0.15">
      <c r="B5" s="53" t="s">
        <v>249</v>
      </c>
      <c r="C5" s="54">
        <f>SUM(C6:C17)</f>
        <v>1560628</v>
      </c>
      <c r="D5" s="54">
        <f t="shared" ref="D5:O5" si="0">SUM(D6:D17)</f>
        <v>640164</v>
      </c>
      <c r="E5" s="54">
        <f t="shared" si="0"/>
        <v>117291</v>
      </c>
      <c r="F5" s="54">
        <f t="shared" si="0"/>
        <v>19892</v>
      </c>
      <c r="G5" s="54">
        <f t="shared" si="0"/>
        <v>627</v>
      </c>
      <c r="H5" s="54">
        <f t="shared" si="0"/>
        <v>107</v>
      </c>
      <c r="I5" s="54">
        <f t="shared" si="0"/>
        <v>1636</v>
      </c>
      <c r="J5" s="54">
        <f t="shared" si="0"/>
        <v>461</v>
      </c>
      <c r="K5" s="54">
        <f t="shared" si="0"/>
        <v>10410</v>
      </c>
      <c r="L5" s="54">
        <f t="shared" si="0"/>
        <v>695</v>
      </c>
      <c r="M5" s="54">
        <f t="shared" si="0"/>
        <v>465201</v>
      </c>
      <c r="N5" s="54">
        <f t="shared" si="0"/>
        <v>9371</v>
      </c>
      <c r="O5" s="54">
        <f t="shared" si="0"/>
        <v>294773</v>
      </c>
    </row>
    <row r="6" spans="2:15" s="10" customFormat="1" ht="32.1" customHeight="1" x14ac:dyDescent="0.15">
      <c r="B6" s="55" t="s">
        <v>250</v>
      </c>
      <c r="C6" s="37">
        <f>SUM(D6:O6)</f>
        <v>128190</v>
      </c>
      <c r="D6" s="50">
        <v>49708</v>
      </c>
      <c r="E6" s="50">
        <v>3037</v>
      </c>
      <c r="F6" s="50">
        <v>1098</v>
      </c>
      <c r="G6" s="50">
        <v>82</v>
      </c>
      <c r="H6" s="51">
        <v>0</v>
      </c>
      <c r="I6" s="51">
        <v>28</v>
      </c>
      <c r="J6" s="51">
        <v>3</v>
      </c>
      <c r="K6" s="51">
        <v>2130</v>
      </c>
      <c r="L6" s="51">
        <v>52</v>
      </c>
      <c r="M6" s="50">
        <v>54923</v>
      </c>
      <c r="N6" s="50">
        <v>173</v>
      </c>
      <c r="O6" s="50">
        <v>16956</v>
      </c>
    </row>
    <row r="7" spans="2:15" s="10" customFormat="1" ht="32.1" customHeight="1" x14ac:dyDescent="0.15">
      <c r="B7" s="55" t="s">
        <v>251</v>
      </c>
      <c r="C7" s="21">
        <f t="shared" ref="C7:C17" si="1">SUM(D7:O7)</f>
        <v>119479</v>
      </c>
      <c r="D7" s="45">
        <v>46381</v>
      </c>
      <c r="E7" s="45">
        <f>4412+73</f>
        <v>4485</v>
      </c>
      <c r="F7" s="45">
        <v>2458</v>
      </c>
      <c r="G7" s="45">
        <v>98</v>
      </c>
      <c r="H7" s="45">
        <v>14</v>
      </c>
      <c r="I7" s="45">
        <v>150</v>
      </c>
      <c r="J7" s="45">
        <v>59</v>
      </c>
      <c r="K7" s="45">
        <f>193+360</f>
        <v>553</v>
      </c>
      <c r="L7" s="45">
        <v>73</v>
      </c>
      <c r="M7" s="45">
        <v>43865</v>
      </c>
      <c r="N7" s="45">
        <v>850</v>
      </c>
      <c r="O7" s="45">
        <v>20493</v>
      </c>
    </row>
    <row r="8" spans="2:15" s="10" customFormat="1" ht="32.1" customHeight="1" x14ac:dyDescent="0.15">
      <c r="B8" s="55" t="s">
        <v>252</v>
      </c>
      <c r="C8" s="21">
        <f>SUM(D8:O8)</f>
        <v>142013</v>
      </c>
      <c r="D8" s="46">
        <v>52742</v>
      </c>
      <c r="E8" s="46">
        <v>12155</v>
      </c>
      <c r="F8" s="46">
        <v>1730</v>
      </c>
      <c r="G8" s="46">
        <v>33</v>
      </c>
      <c r="H8" s="21">
        <v>7</v>
      </c>
      <c r="I8" s="21">
        <v>113</v>
      </c>
      <c r="J8" s="21">
        <v>56</v>
      </c>
      <c r="K8" s="21">
        <v>279</v>
      </c>
      <c r="L8" s="21">
        <v>106</v>
      </c>
      <c r="M8" s="46">
        <v>47265</v>
      </c>
      <c r="N8" s="45">
        <v>472</v>
      </c>
      <c r="O8" s="46">
        <v>27055</v>
      </c>
    </row>
    <row r="9" spans="2:15" s="10" customFormat="1" ht="32.1" customHeight="1" x14ac:dyDescent="0.15">
      <c r="B9" s="55" t="s">
        <v>253</v>
      </c>
      <c r="C9" s="21">
        <f>SUM(D9:O9)</f>
        <v>140390</v>
      </c>
      <c r="D9" s="46">
        <v>57478</v>
      </c>
      <c r="E9" s="46">
        <v>13331</v>
      </c>
      <c r="F9" s="47">
        <v>2206</v>
      </c>
      <c r="G9" s="48">
        <v>50</v>
      </c>
      <c r="H9" s="48">
        <v>0</v>
      </c>
      <c r="I9" s="48">
        <v>189</v>
      </c>
      <c r="J9" s="48">
        <v>15</v>
      </c>
      <c r="K9" s="49">
        <v>151</v>
      </c>
      <c r="L9" s="21">
        <v>17</v>
      </c>
      <c r="M9" s="46">
        <v>39048</v>
      </c>
      <c r="N9" s="46">
        <v>221</v>
      </c>
      <c r="O9" s="46">
        <v>27684</v>
      </c>
    </row>
    <row r="10" spans="2:15" s="10" customFormat="1" ht="32.1" customHeight="1" x14ac:dyDescent="0.15">
      <c r="B10" s="55" t="s">
        <v>254</v>
      </c>
      <c r="C10" s="21">
        <f t="shared" si="1"/>
        <v>142270</v>
      </c>
      <c r="D10" s="46">
        <v>57044</v>
      </c>
      <c r="E10" s="46">
        <v>13748</v>
      </c>
      <c r="F10" s="47">
        <v>2033</v>
      </c>
      <c r="G10" s="48">
        <v>46</v>
      </c>
      <c r="H10" s="48">
        <v>0</v>
      </c>
      <c r="I10" s="48">
        <v>0</v>
      </c>
      <c r="J10" s="48">
        <v>25</v>
      </c>
      <c r="K10" s="60">
        <v>207</v>
      </c>
      <c r="L10" s="21">
        <v>60</v>
      </c>
      <c r="M10" s="46">
        <v>40863</v>
      </c>
      <c r="N10" s="46">
        <v>430</v>
      </c>
      <c r="O10" s="46">
        <v>27814</v>
      </c>
    </row>
    <row r="11" spans="2:15" s="10" customFormat="1" ht="32.1" customHeight="1" x14ac:dyDescent="0.15">
      <c r="B11" s="55" t="s">
        <v>255</v>
      </c>
      <c r="C11" s="21">
        <f t="shared" si="1"/>
        <v>145831</v>
      </c>
      <c r="D11" s="46">
        <v>58984</v>
      </c>
      <c r="E11" s="46">
        <v>13599</v>
      </c>
      <c r="F11" s="47">
        <v>2565</v>
      </c>
      <c r="G11" s="48">
        <v>41</v>
      </c>
      <c r="H11" s="48" t="s">
        <v>256</v>
      </c>
      <c r="I11" s="48">
        <v>82</v>
      </c>
      <c r="J11" s="48">
        <v>44</v>
      </c>
      <c r="K11" s="49">
        <v>906</v>
      </c>
      <c r="L11" s="21">
        <v>34</v>
      </c>
      <c r="M11" s="46">
        <v>38552</v>
      </c>
      <c r="N11" s="46">
        <v>651</v>
      </c>
      <c r="O11" s="46">
        <v>30373</v>
      </c>
    </row>
    <row r="12" spans="2:15" s="10" customFormat="1" ht="32.1" customHeight="1" x14ac:dyDescent="0.15">
      <c r="B12" s="55" t="s">
        <v>257</v>
      </c>
      <c r="C12" s="21">
        <v>137518</v>
      </c>
      <c r="D12" s="46">
        <v>53765</v>
      </c>
      <c r="E12" s="46">
        <v>11772</v>
      </c>
      <c r="F12" s="47">
        <v>2098</v>
      </c>
      <c r="G12" s="48">
        <v>22</v>
      </c>
      <c r="H12" s="48">
        <v>0</v>
      </c>
      <c r="I12" s="48">
        <v>272</v>
      </c>
      <c r="J12" s="48">
        <v>36</v>
      </c>
      <c r="K12" s="49">
        <v>858</v>
      </c>
      <c r="L12" s="21">
        <v>44</v>
      </c>
      <c r="M12" s="46">
        <v>35632</v>
      </c>
      <c r="N12" s="46">
        <v>1184</v>
      </c>
      <c r="O12" s="46">
        <v>31835</v>
      </c>
    </row>
    <row r="13" spans="2:15" s="10" customFormat="1" ht="32.1" customHeight="1" x14ac:dyDescent="0.15">
      <c r="B13" s="55" t="s">
        <v>258</v>
      </c>
      <c r="C13" s="68">
        <f t="shared" si="1"/>
        <v>118822</v>
      </c>
      <c r="D13" s="67">
        <v>46632</v>
      </c>
      <c r="E13" s="67">
        <v>9126</v>
      </c>
      <c r="F13" s="70">
        <v>1481</v>
      </c>
      <c r="G13" s="70">
        <v>2</v>
      </c>
      <c r="H13" s="70">
        <v>2</v>
      </c>
      <c r="I13" s="70">
        <v>82</v>
      </c>
      <c r="J13" s="70">
        <v>65</v>
      </c>
      <c r="K13" s="69">
        <v>637</v>
      </c>
      <c r="L13" s="68">
        <v>59</v>
      </c>
      <c r="M13" s="67">
        <v>34482</v>
      </c>
      <c r="N13" s="67">
        <v>743</v>
      </c>
      <c r="O13" s="67">
        <v>25511</v>
      </c>
    </row>
    <row r="14" spans="2:15" s="10" customFormat="1" ht="32.1" customHeight="1" x14ac:dyDescent="0.15">
      <c r="B14" s="55" t="s">
        <v>259</v>
      </c>
      <c r="C14" s="21">
        <f>SUM(D14:O14)</f>
        <v>113147</v>
      </c>
      <c r="D14" s="46">
        <v>50126</v>
      </c>
      <c r="E14" s="46">
        <v>10665</v>
      </c>
      <c r="F14" s="47">
        <v>836</v>
      </c>
      <c r="G14" s="48">
        <v>95</v>
      </c>
      <c r="H14" s="48">
        <v>42</v>
      </c>
      <c r="I14" s="48">
        <v>251</v>
      </c>
      <c r="J14" s="48">
        <v>69</v>
      </c>
      <c r="K14" s="49">
        <v>749</v>
      </c>
      <c r="L14" s="21">
        <v>127</v>
      </c>
      <c r="M14" s="46">
        <v>28946</v>
      </c>
      <c r="N14" s="46">
        <v>1434</v>
      </c>
      <c r="O14" s="46">
        <v>19807</v>
      </c>
    </row>
    <row r="15" spans="2:15" s="10" customFormat="1" ht="32.1" customHeight="1" x14ac:dyDescent="0.15">
      <c r="B15" s="55" t="s">
        <v>260</v>
      </c>
      <c r="C15" s="21">
        <f t="shared" si="1"/>
        <v>121219</v>
      </c>
      <c r="D15" s="46">
        <v>58831</v>
      </c>
      <c r="E15" s="46">
        <v>8333</v>
      </c>
      <c r="F15" s="47">
        <v>659</v>
      </c>
      <c r="G15" s="48">
        <v>21</v>
      </c>
      <c r="H15" s="48">
        <v>2</v>
      </c>
      <c r="I15" s="48">
        <v>260</v>
      </c>
      <c r="J15" s="48">
        <v>26</v>
      </c>
      <c r="K15" s="49">
        <v>937</v>
      </c>
      <c r="L15" s="21">
        <v>15</v>
      </c>
      <c r="M15" s="46">
        <v>27025</v>
      </c>
      <c r="N15" s="46">
        <v>1206</v>
      </c>
      <c r="O15" s="46">
        <v>23904</v>
      </c>
    </row>
    <row r="16" spans="2:15" s="10" customFormat="1" ht="32.1" customHeight="1" x14ac:dyDescent="0.15">
      <c r="B16" s="55" t="s">
        <v>261</v>
      </c>
      <c r="C16" s="21">
        <f t="shared" si="1"/>
        <v>107907</v>
      </c>
      <c r="D16" s="32">
        <v>50425</v>
      </c>
      <c r="E16" s="32">
        <v>6886</v>
      </c>
      <c r="F16" s="32">
        <v>1339</v>
      </c>
      <c r="G16" s="32">
        <v>40</v>
      </c>
      <c r="H16" s="21">
        <v>0</v>
      </c>
      <c r="I16" s="21">
        <v>126</v>
      </c>
      <c r="J16" s="21">
        <v>11</v>
      </c>
      <c r="K16" s="21">
        <v>721</v>
      </c>
      <c r="L16" s="21">
        <v>75</v>
      </c>
      <c r="M16" s="32">
        <v>27813</v>
      </c>
      <c r="N16" s="32">
        <v>954</v>
      </c>
      <c r="O16" s="32">
        <v>19517</v>
      </c>
    </row>
    <row r="17" spans="2:15" s="10" customFormat="1" ht="32.1" customHeight="1" x14ac:dyDescent="0.15">
      <c r="B17" s="55" t="s">
        <v>262</v>
      </c>
      <c r="C17" s="21">
        <f t="shared" si="1"/>
        <v>143842</v>
      </c>
      <c r="D17" s="32">
        <v>58048</v>
      </c>
      <c r="E17" s="32">
        <v>10154</v>
      </c>
      <c r="F17" s="32">
        <v>1389</v>
      </c>
      <c r="G17" s="32">
        <v>97</v>
      </c>
      <c r="H17" s="21">
        <v>40</v>
      </c>
      <c r="I17" s="21">
        <v>83</v>
      </c>
      <c r="J17" s="21">
        <v>52</v>
      </c>
      <c r="K17" s="21">
        <v>2282</v>
      </c>
      <c r="L17" s="21">
        <v>33</v>
      </c>
      <c r="M17" s="32">
        <v>46787</v>
      </c>
      <c r="N17" s="32">
        <v>1053</v>
      </c>
      <c r="O17" s="32">
        <v>23824</v>
      </c>
    </row>
  </sheetData>
  <mergeCells count="2">
    <mergeCell ref="B2:O2"/>
    <mergeCell ref="B3:O3"/>
  </mergeCells>
  <phoneticPr fontId="3" type="noConversion"/>
  <pageMargins left="1.1417322834645669" right="0.51181102362204722" top="1.1023622047244095" bottom="0.74803149606299213" header="0.31496062992125984" footer="0.31496062992125984"/>
  <pageSetup paperSize="9" scale="86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P17"/>
  <sheetViews>
    <sheetView zoomScaleNormal="100" workbookViewId="0">
      <selection activeCell="K14" sqref="K14"/>
    </sheetView>
  </sheetViews>
  <sheetFormatPr defaultRowHeight="13.5" x14ac:dyDescent="0.15"/>
  <cols>
    <col min="1" max="1" width="3.77734375" customWidth="1"/>
    <col min="2" max="2" width="10.109375" customWidth="1"/>
    <col min="3" max="3" width="12.109375" customWidth="1"/>
    <col min="4" max="15" width="10.109375" customWidth="1"/>
  </cols>
  <sheetData>
    <row r="1" spans="2:16" ht="32.1" customHeight="1" x14ac:dyDescent="0.15"/>
    <row r="2" spans="2:16" s="35" customFormat="1" ht="39.950000000000003" customHeight="1" x14ac:dyDescent="0.15">
      <c r="B2" s="75" t="s">
        <v>234</v>
      </c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</row>
    <row r="3" spans="2:16" ht="32.1" customHeight="1" x14ac:dyDescent="0.15">
      <c r="B3" s="77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</row>
    <row r="4" spans="2:16" s="10" customFormat="1" ht="32.1" customHeight="1" x14ac:dyDescent="0.15">
      <c r="B4" s="52" t="s">
        <v>233</v>
      </c>
      <c r="C4" s="53" t="s">
        <v>14</v>
      </c>
      <c r="D4" s="53" t="s">
        <v>68</v>
      </c>
      <c r="E4" s="53" t="s">
        <v>69</v>
      </c>
      <c r="F4" s="53" t="s">
        <v>232</v>
      </c>
      <c r="G4" s="53" t="s">
        <v>157</v>
      </c>
      <c r="H4" s="53" t="s">
        <v>130</v>
      </c>
      <c r="I4" s="53" t="s">
        <v>177</v>
      </c>
      <c r="J4" s="53" t="s">
        <v>176</v>
      </c>
      <c r="K4" s="53" t="s">
        <v>63</v>
      </c>
      <c r="L4" s="53" t="s">
        <v>160</v>
      </c>
      <c r="M4" s="53" t="s">
        <v>151</v>
      </c>
      <c r="N4" s="53" t="s">
        <v>149</v>
      </c>
      <c r="O4" s="53" t="s">
        <v>150</v>
      </c>
    </row>
    <row r="5" spans="2:16" s="10" customFormat="1" ht="32.1" customHeight="1" x14ac:dyDescent="0.15">
      <c r="B5" s="53" t="s">
        <v>212</v>
      </c>
      <c r="C5" s="54">
        <f t="shared" ref="C5:O5" si="0">SUM(C6:C17)</f>
        <v>1616086</v>
      </c>
      <c r="D5" s="54">
        <f t="shared" si="0"/>
        <v>681619</v>
      </c>
      <c r="E5" s="54">
        <f t="shared" si="0"/>
        <v>116230</v>
      </c>
      <c r="F5" s="54">
        <f t="shared" si="0"/>
        <v>36225</v>
      </c>
      <c r="G5" s="54">
        <f t="shared" si="0"/>
        <v>1822</v>
      </c>
      <c r="H5" s="54">
        <f t="shared" si="0"/>
        <v>186</v>
      </c>
      <c r="I5" s="54">
        <f t="shared" si="0"/>
        <v>1673</v>
      </c>
      <c r="J5" s="54">
        <f t="shared" si="0"/>
        <v>503</v>
      </c>
      <c r="K5" s="54">
        <f t="shared" si="0"/>
        <v>11451</v>
      </c>
      <c r="L5" s="54">
        <f t="shared" si="0"/>
        <v>676</v>
      </c>
      <c r="M5" s="54">
        <f t="shared" si="0"/>
        <v>427560</v>
      </c>
      <c r="N5" s="54">
        <f t="shared" si="0"/>
        <v>11880</v>
      </c>
      <c r="O5" s="54">
        <f t="shared" si="0"/>
        <v>326261</v>
      </c>
    </row>
    <row r="6" spans="2:16" s="10" customFormat="1" ht="32.1" customHeight="1" x14ac:dyDescent="0.15">
      <c r="B6" s="55" t="s">
        <v>0</v>
      </c>
      <c r="C6" s="37">
        <f t="shared" ref="C6:C17" si="1">SUM(D6:O6)</f>
        <v>99612</v>
      </c>
      <c r="D6" s="50">
        <v>46742</v>
      </c>
      <c r="E6" s="50">
        <v>7354</v>
      </c>
      <c r="F6" s="50">
        <v>3217</v>
      </c>
      <c r="G6" s="50">
        <v>54</v>
      </c>
      <c r="H6" s="51">
        <v>0</v>
      </c>
      <c r="I6" s="51">
        <v>211</v>
      </c>
      <c r="J6" s="51">
        <v>64</v>
      </c>
      <c r="K6" s="51">
        <v>416</v>
      </c>
      <c r="L6" s="51">
        <v>26</v>
      </c>
      <c r="M6" s="50">
        <v>21555</v>
      </c>
      <c r="N6" s="50">
        <v>957</v>
      </c>
      <c r="O6" s="50">
        <v>19016</v>
      </c>
    </row>
    <row r="7" spans="2:16" s="10" customFormat="1" ht="32.1" customHeight="1" x14ac:dyDescent="0.15">
      <c r="B7" s="55" t="s">
        <v>1</v>
      </c>
      <c r="C7" s="37">
        <f t="shared" si="1"/>
        <v>118713</v>
      </c>
      <c r="D7" s="45">
        <v>56767</v>
      </c>
      <c r="E7" s="45">
        <v>8337</v>
      </c>
      <c r="F7" s="45">
        <v>3586</v>
      </c>
      <c r="G7" s="45">
        <v>5</v>
      </c>
      <c r="H7" s="45">
        <v>2</v>
      </c>
      <c r="I7" s="45">
        <v>168</v>
      </c>
      <c r="J7" s="45">
        <v>44</v>
      </c>
      <c r="K7" s="45">
        <v>577</v>
      </c>
      <c r="L7" s="45">
        <v>77</v>
      </c>
      <c r="M7" s="45">
        <v>33903</v>
      </c>
      <c r="N7" s="45">
        <v>1453</v>
      </c>
      <c r="O7" s="45">
        <v>13794</v>
      </c>
    </row>
    <row r="8" spans="2:16" s="10" customFormat="1" ht="32.1" customHeight="1" x14ac:dyDescent="0.15">
      <c r="B8" s="55" t="s">
        <v>2</v>
      </c>
      <c r="C8" s="37">
        <f t="shared" si="1"/>
        <v>141523</v>
      </c>
      <c r="D8" s="46">
        <v>62326</v>
      </c>
      <c r="E8" s="46">
        <v>11157</v>
      </c>
      <c r="F8" s="46">
        <v>3169</v>
      </c>
      <c r="G8" s="46">
        <v>144</v>
      </c>
      <c r="H8" s="21">
        <v>93</v>
      </c>
      <c r="I8" s="21">
        <v>60</v>
      </c>
      <c r="J8" s="21">
        <v>18</v>
      </c>
      <c r="K8" s="21">
        <v>926</v>
      </c>
      <c r="L8" s="21">
        <v>92</v>
      </c>
      <c r="M8" s="46">
        <v>41389</v>
      </c>
      <c r="N8" s="45">
        <v>592</v>
      </c>
      <c r="O8" s="46">
        <v>21557</v>
      </c>
    </row>
    <row r="9" spans="2:16" s="10" customFormat="1" ht="32.1" customHeight="1" x14ac:dyDescent="0.15">
      <c r="B9" s="55" t="s">
        <v>3</v>
      </c>
      <c r="C9" s="37">
        <f t="shared" si="1"/>
        <v>154589</v>
      </c>
      <c r="D9" s="46">
        <v>62832</v>
      </c>
      <c r="E9" s="46">
        <f>17180+30</f>
        <v>17210</v>
      </c>
      <c r="F9" s="47">
        <v>3167</v>
      </c>
      <c r="G9" s="48">
        <v>191</v>
      </c>
      <c r="H9" s="48">
        <v>3</v>
      </c>
      <c r="I9" s="48">
        <v>123</v>
      </c>
      <c r="J9" s="48">
        <v>35</v>
      </c>
      <c r="K9" s="49">
        <f>190+1433</f>
        <v>1623</v>
      </c>
      <c r="L9" s="21">
        <v>42</v>
      </c>
      <c r="M9" s="46">
        <v>39434</v>
      </c>
      <c r="N9" s="46">
        <v>521</v>
      </c>
      <c r="O9" s="46">
        <v>29408</v>
      </c>
    </row>
    <row r="10" spans="2:16" s="10" customFormat="1" ht="32.1" customHeight="1" x14ac:dyDescent="0.15">
      <c r="B10" s="55" t="s">
        <v>4</v>
      </c>
      <c r="C10" s="37">
        <f t="shared" si="1"/>
        <v>144125</v>
      </c>
      <c r="D10" s="46">
        <v>58312</v>
      </c>
      <c r="E10" s="46">
        <f>9+9481</f>
        <v>9490</v>
      </c>
      <c r="F10" s="47">
        <v>3210</v>
      </c>
      <c r="G10" s="48">
        <v>115</v>
      </c>
      <c r="H10" s="48">
        <v>19</v>
      </c>
      <c r="I10" s="48">
        <v>152</v>
      </c>
      <c r="J10" s="48">
        <v>52</v>
      </c>
      <c r="K10" s="60">
        <f>106+2+1160</f>
        <v>1268</v>
      </c>
      <c r="L10" s="21">
        <v>65</v>
      </c>
      <c r="M10" s="46">
        <v>34504</v>
      </c>
      <c r="N10" s="46">
        <v>882</v>
      </c>
      <c r="O10" s="46">
        <v>36056</v>
      </c>
    </row>
    <row r="11" spans="2:16" s="10" customFormat="1" ht="32.1" customHeight="1" x14ac:dyDescent="0.15">
      <c r="B11" s="55" t="s">
        <v>5</v>
      </c>
      <c r="C11" s="37">
        <f>SUM(D11:O11)</f>
        <v>134530</v>
      </c>
      <c r="D11" s="46">
        <v>56557</v>
      </c>
      <c r="E11" s="46">
        <f>8669+11</f>
        <v>8680</v>
      </c>
      <c r="F11" s="47">
        <v>2980</v>
      </c>
      <c r="G11" s="48">
        <v>184</v>
      </c>
      <c r="H11" s="48"/>
      <c r="I11" s="48">
        <v>31</v>
      </c>
      <c r="J11" s="48">
        <v>46</v>
      </c>
      <c r="K11" s="49">
        <f>1+605+172</f>
        <v>778</v>
      </c>
      <c r="L11" s="21">
        <v>49</v>
      </c>
      <c r="M11" s="46">
        <v>37825</v>
      </c>
      <c r="N11" s="46">
        <v>618</v>
      </c>
      <c r="O11" s="46">
        <v>26782</v>
      </c>
    </row>
    <row r="12" spans="2:16" s="10" customFormat="1" ht="32.1" customHeight="1" x14ac:dyDescent="0.15">
      <c r="B12" s="55" t="s">
        <v>6</v>
      </c>
      <c r="C12" s="37">
        <f>SUM(D12:O12)</f>
        <v>143971</v>
      </c>
      <c r="D12" s="46">
        <v>56852</v>
      </c>
      <c r="E12" s="46">
        <f>7506+11</f>
        <v>7517</v>
      </c>
      <c r="F12" s="47">
        <v>2543</v>
      </c>
      <c r="G12" s="48">
        <v>103</v>
      </c>
      <c r="H12" s="48">
        <v>31</v>
      </c>
      <c r="I12" s="48">
        <v>132</v>
      </c>
      <c r="J12" s="48">
        <v>82</v>
      </c>
      <c r="K12" s="49">
        <f>189+1+659</f>
        <v>849</v>
      </c>
      <c r="L12" s="21">
        <v>29</v>
      </c>
      <c r="M12" s="46">
        <v>39712</v>
      </c>
      <c r="N12" s="46">
        <f>689+292</f>
        <v>981</v>
      </c>
      <c r="O12" s="46">
        <v>35140</v>
      </c>
    </row>
    <row r="13" spans="2:16" s="10" customFormat="1" ht="32.1" customHeight="1" x14ac:dyDescent="0.15">
      <c r="B13" s="55" t="s">
        <v>7</v>
      </c>
      <c r="C13" s="37">
        <f>SUM(D13:O13)</f>
        <v>143693</v>
      </c>
      <c r="D13" s="67">
        <v>53830</v>
      </c>
      <c r="E13" s="67">
        <f>9585+30</f>
        <v>9615</v>
      </c>
      <c r="F13" s="70">
        <v>2944</v>
      </c>
      <c r="G13" s="70">
        <v>289</v>
      </c>
      <c r="H13" s="70">
        <v>25</v>
      </c>
      <c r="I13" s="70">
        <v>158</v>
      </c>
      <c r="J13" s="70">
        <v>40</v>
      </c>
      <c r="K13" s="69">
        <f>66+949+6</f>
        <v>1021</v>
      </c>
      <c r="L13" s="68">
        <v>42</v>
      </c>
      <c r="M13" s="67">
        <v>39480</v>
      </c>
      <c r="N13" s="67">
        <f>868+579</f>
        <v>1447</v>
      </c>
      <c r="O13" s="67">
        <v>34802</v>
      </c>
    </row>
    <row r="14" spans="2:16" s="10" customFormat="1" ht="32.1" customHeight="1" x14ac:dyDescent="0.15">
      <c r="B14" s="55" t="s">
        <v>8</v>
      </c>
      <c r="C14" s="37">
        <f t="shared" si="1"/>
        <v>143676</v>
      </c>
      <c r="D14" s="46">
        <v>62494</v>
      </c>
      <c r="E14" s="46">
        <f>10752+80</f>
        <v>10832</v>
      </c>
      <c r="F14" s="47">
        <v>2731</v>
      </c>
      <c r="G14" s="48">
        <v>323</v>
      </c>
      <c r="H14" s="48" t="s">
        <v>263</v>
      </c>
      <c r="I14" s="48">
        <v>172</v>
      </c>
      <c r="J14" s="48">
        <v>44</v>
      </c>
      <c r="K14" s="49">
        <f>3+93+433</f>
        <v>529</v>
      </c>
      <c r="L14" s="21">
        <v>133</v>
      </c>
      <c r="M14" s="46">
        <v>33681</v>
      </c>
      <c r="N14" s="46">
        <v>1261</v>
      </c>
      <c r="O14" s="46">
        <v>31476</v>
      </c>
      <c r="P14" s="22"/>
    </row>
    <row r="15" spans="2:16" s="10" customFormat="1" ht="32.1" customHeight="1" x14ac:dyDescent="0.15">
      <c r="B15" s="55" t="s">
        <v>9</v>
      </c>
      <c r="C15" s="37">
        <f t="shared" si="1"/>
        <v>106156</v>
      </c>
      <c r="D15" s="46">
        <v>42573</v>
      </c>
      <c r="E15" s="46">
        <f>9530+37</f>
        <v>9567</v>
      </c>
      <c r="F15" s="47">
        <v>2620</v>
      </c>
      <c r="G15" s="48">
        <v>212</v>
      </c>
      <c r="H15" s="48"/>
      <c r="I15" s="48">
        <v>144</v>
      </c>
      <c r="J15" s="48">
        <v>20</v>
      </c>
      <c r="K15" s="49">
        <f>132+467</f>
        <v>599</v>
      </c>
      <c r="L15" s="21">
        <v>29</v>
      </c>
      <c r="M15" s="46">
        <v>28119</v>
      </c>
      <c r="N15" s="46">
        <v>778</v>
      </c>
      <c r="O15" s="46">
        <v>21495</v>
      </c>
    </row>
    <row r="16" spans="2:16" s="10" customFormat="1" ht="31.5" customHeight="1" x14ac:dyDescent="0.15">
      <c r="B16" s="55" t="s">
        <v>10</v>
      </c>
      <c r="C16" s="37">
        <f t="shared" si="1"/>
        <v>143459</v>
      </c>
      <c r="D16" s="32">
        <v>59687</v>
      </c>
      <c r="E16" s="32">
        <f>83+9049</f>
        <v>9132</v>
      </c>
      <c r="F16" s="32">
        <v>2765</v>
      </c>
      <c r="G16" s="32">
        <v>146</v>
      </c>
      <c r="H16" s="21"/>
      <c r="I16" s="21">
        <v>204</v>
      </c>
      <c r="J16" s="21">
        <v>24</v>
      </c>
      <c r="K16" s="21">
        <f>243+4+462</f>
        <v>709</v>
      </c>
      <c r="L16" s="21">
        <v>66</v>
      </c>
      <c r="M16" s="32">
        <v>37974</v>
      </c>
      <c r="N16" s="32">
        <v>1619</v>
      </c>
      <c r="O16" s="32">
        <v>31133</v>
      </c>
    </row>
    <row r="17" spans="2:15" s="10" customFormat="1" ht="32.1" customHeight="1" x14ac:dyDescent="0.15">
      <c r="B17" s="55" t="s">
        <v>11</v>
      </c>
      <c r="C17" s="37">
        <f t="shared" si="1"/>
        <v>142039</v>
      </c>
      <c r="D17" s="32">
        <v>62647</v>
      </c>
      <c r="E17" s="32">
        <f>7322+17</f>
        <v>7339</v>
      </c>
      <c r="F17" s="32">
        <v>3293</v>
      </c>
      <c r="G17" s="32">
        <v>56</v>
      </c>
      <c r="H17" s="21">
        <v>13</v>
      </c>
      <c r="I17" s="21">
        <v>118</v>
      </c>
      <c r="J17" s="21">
        <v>34</v>
      </c>
      <c r="K17" s="21">
        <f>1+375+1780</f>
        <v>2156</v>
      </c>
      <c r="L17" s="21">
        <v>26</v>
      </c>
      <c r="M17" s="32">
        <v>39984</v>
      </c>
      <c r="N17" s="32">
        <v>771</v>
      </c>
      <c r="O17" s="32">
        <v>25602</v>
      </c>
    </row>
  </sheetData>
  <mergeCells count="2">
    <mergeCell ref="B2:O2"/>
    <mergeCell ref="B3:O3"/>
  </mergeCells>
  <phoneticPr fontId="3" type="noConversion"/>
  <pageMargins left="1.1417322834645669" right="0.51181102362204722" top="1.1023622047244095" bottom="0.74803149606299213" header="0.31496062992125984" footer="0.31496062992125984"/>
  <pageSetup paperSize="9" scale="86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P17"/>
  <sheetViews>
    <sheetView tabSelected="1" zoomScaleNormal="100" workbookViewId="0">
      <selection activeCell="L11" sqref="L11"/>
    </sheetView>
  </sheetViews>
  <sheetFormatPr defaultRowHeight="13.5" x14ac:dyDescent="0.15"/>
  <cols>
    <col min="1" max="1" width="3.77734375" customWidth="1"/>
    <col min="2" max="2" width="10.109375" customWidth="1"/>
    <col min="3" max="3" width="12.109375" customWidth="1"/>
    <col min="4" max="15" width="10.109375" customWidth="1"/>
  </cols>
  <sheetData>
    <row r="1" spans="2:16" ht="32.1" customHeight="1" x14ac:dyDescent="0.15"/>
    <row r="2" spans="2:16" s="35" customFormat="1" ht="39.950000000000003" customHeight="1" x14ac:dyDescent="0.15">
      <c r="B2" s="75" t="s">
        <v>264</v>
      </c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</row>
    <row r="3" spans="2:16" ht="32.1" customHeight="1" x14ac:dyDescent="0.15">
      <c r="B3" s="77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</row>
    <row r="4" spans="2:16" s="10" customFormat="1" ht="32.1" customHeight="1" x14ac:dyDescent="0.15">
      <c r="B4" s="52" t="s">
        <v>205</v>
      </c>
      <c r="C4" s="53" t="s">
        <v>14</v>
      </c>
      <c r="D4" s="53" t="s">
        <v>68</v>
      </c>
      <c r="E4" s="53" t="s">
        <v>69</v>
      </c>
      <c r="F4" s="53" t="s">
        <v>232</v>
      </c>
      <c r="G4" s="53" t="s">
        <v>157</v>
      </c>
      <c r="H4" s="53" t="s">
        <v>130</v>
      </c>
      <c r="I4" s="53" t="s">
        <v>177</v>
      </c>
      <c r="J4" s="53" t="s">
        <v>176</v>
      </c>
      <c r="K4" s="53" t="s">
        <v>63</v>
      </c>
      <c r="L4" s="53" t="s">
        <v>160</v>
      </c>
      <c r="M4" s="53" t="s">
        <v>151</v>
      </c>
      <c r="N4" s="53" t="s">
        <v>149</v>
      </c>
      <c r="O4" s="53" t="s">
        <v>150</v>
      </c>
    </row>
    <row r="5" spans="2:16" s="10" customFormat="1" ht="32.1" customHeight="1" x14ac:dyDescent="0.15">
      <c r="B5" s="53" t="s">
        <v>209</v>
      </c>
      <c r="C5" s="54">
        <f t="shared" ref="C5:O5" si="0">SUM(C6:C17)</f>
        <v>653731</v>
      </c>
      <c r="D5" s="54">
        <f t="shared" si="0"/>
        <v>296691</v>
      </c>
      <c r="E5" s="54">
        <f t="shared" si="0"/>
        <v>36156</v>
      </c>
      <c r="F5" s="54">
        <f t="shared" si="0"/>
        <v>13916</v>
      </c>
      <c r="G5" s="54">
        <f t="shared" si="0"/>
        <v>1243</v>
      </c>
      <c r="H5" s="54">
        <f t="shared" si="0"/>
        <v>47</v>
      </c>
      <c r="I5" s="54">
        <f t="shared" si="0"/>
        <v>329</v>
      </c>
      <c r="J5" s="54">
        <f t="shared" si="0"/>
        <v>75</v>
      </c>
      <c r="K5" s="54">
        <f t="shared" si="0"/>
        <v>6631</v>
      </c>
      <c r="L5" s="54">
        <f t="shared" si="0"/>
        <v>181</v>
      </c>
      <c r="M5" s="54">
        <f t="shared" si="0"/>
        <v>137565</v>
      </c>
      <c r="N5" s="54">
        <f t="shared" si="0"/>
        <v>2301</v>
      </c>
      <c r="O5" s="54">
        <f t="shared" si="0"/>
        <v>158596</v>
      </c>
    </row>
    <row r="6" spans="2:16" s="10" customFormat="1" ht="32.1" customHeight="1" x14ac:dyDescent="0.15">
      <c r="B6" s="55" t="s">
        <v>0</v>
      </c>
      <c r="C6" s="37">
        <f>SUM(D6:O6)</f>
        <v>137317</v>
      </c>
      <c r="D6" s="50">
        <v>64655</v>
      </c>
      <c r="E6" s="50">
        <f>9337+22</f>
        <v>9359</v>
      </c>
      <c r="F6" s="50">
        <v>3593</v>
      </c>
      <c r="G6" s="50">
        <v>293</v>
      </c>
      <c r="H6" s="51">
        <v>47</v>
      </c>
      <c r="I6" s="51">
        <v>159</v>
      </c>
      <c r="J6" s="51">
        <v>34</v>
      </c>
      <c r="K6" s="51">
        <f>2+107+1493</f>
        <v>1602</v>
      </c>
      <c r="L6" s="51">
        <v>15</v>
      </c>
      <c r="M6" s="50">
        <v>38610</v>
      </c>
      <c r="N6" s="50">
        <v>1021</v>
      </c>
      <c r="O6" s="50">
        <v>17929</v>
      </c>
    </row>
    <row r="7" spans="2:16" s="10" customFormat="1" ht="32.1" customHeight="1" x14ac:dyDescent="0.15">
      <c r="B7" s="55" t="s">
        <v>1</v>
      </c>
      <c r="C7" s="37">
        <f t="shared" ref="C7:C17" si="1">SUM(D7:O7)</f>
        <v>112286</v>
      </c>
      <c r="D7" s="45">
        <v>43476</v>
      </c>
      <c r="E7" s="45">
        <f>5770+27</f>
        <v>5797</v>
      </c>
      <c r="F7" s="45">
        <v>3808</v>
      </c>
      <c r="G7" s="45">
        <v>232</v>
      </c>
      <c r="H7" s="45">
        <v>0</v>
      </c>
      <c r="I7" s="45">
        <v>81</v>
      </c>
      <c r="J7" s="45">
        <v>12</v>
      </c>
      <c r="K7" s="45">
        <f>90+869</f>
        <v>959</v>
      </c>
      <c r="L7" s="45">
        <v>32</v>
      </c>
      <c r="M7" s="45">
        <v>25592</v>
      </c>
      <c r="N7" s="45">
        <v>800</v>
      </c>
      <c r="O7" s="45">
        <v>31497</v>
      </c>
    </row>
    <row r="8" spans="2:16" s="10" customFormat="1" ht="32.1" customHeight="1" x14ac:dyDescent="0.15">
      <c r="B8" s="55" t="s">
        <v>2</v>
      </c>
      <c r="C8" s="37">
        <f t="shared" si="1"/>
        <v>149720</v>
      </c>
      <c r="D8" s="46">
        <v>67217</v>
      </c>
      <c r="E8" s="46">
        <f>8121+17</f>
        <v>8138</v>
      </c>
      <c r="F8" s="46">
        <v>1166</v>
      </c>
      <c r="G8" s="46">
        <v>228</v>
      </c>
      <c r="H8" s="21"/>
      <c r="I8" s="21">
        <v>51</v>
      </c>
      <c r="J8" s="21">
        <v>6</v>
      </c>
      <c r="K8" s="21">
        <f>187+1152+2</f>
        <v>1341</v>
      </c>
      <c r="L8" s="21">
        <v>11</v>
      </c>
      <c r="M8" s="46">
        <v>41829</v>
      </c>
      <c r="N8" s="45">
        <v>283</v>
      </c>
      <c r="O8" s="46">
        <v>29450</v>
      </c>
    </row>
    <row r="9" spans="2:16" s="10" customFormat="1" ht="32.1" customHeight="1" x14ac:dyDescent="0.15">
      <c r="B9" s="55" t="s">
        <v>3</v>
      </c>
      <c r="C9" s="37">
        <f t="shared" si="1"/>
        <v>139047</v>
      </c>
      <c r="D9" s="46">
        <v>64368</v>
      </c>
      <c r="E9" s="46">
        <f>28+5860</f>
        <v>5888</v>
      </c>
      <c r="F9" s="47">
        <v>2764</v>
      </c>
      <c r="G9" s="48">
        <v>394</v>
      </c>
      <c r="H9" s="48"/>
      <c r="I9" s="48">
        <v>21</v>
      </c>
      <c r="J9" s="48">
        <v>20</v>
      </c>
      <c r="K9" s="49">
        <f>96+2048</f>
        <v>2144</v>
      </c>
      <c r="L9" s="21">
        <v>91</v>
      </c>
      <c r="M9" s="46">
        <v>24499</v>
      </c>
      <c r="N9" s="46">
        <v>103</v>
      </c>
      <c r="O9" s="46">
        <v>38755</v>
      </c>
    </row>
    <row r="10" spans="2:16" s="10" customFormat="1" ht="32.1" customHeight="1" x14ac:dyDescent="0.15">
      <c r="B10" s="55" t="s">
        <v>4</v>
      </c>
      <c r="C10" s="37">
        <f t="shared" si="1"/>
        <v>115361</v>
      </c>
      <c r="D10" s="46">
        <v>56975</v>
      </c>
      <c r="E10" s="46">
        <f>6956+18</f>
        <v>6974</v>
      </c>
      <c r="F10" s="47">
        <v>2585</v>
      </c>
      <c r="G10" s="48">
        <v>96</v>
      </c>
      <c r="H10" s="48"/>
      <c r="I10" s="48">
        <v>17</v>
      </c>
      <c r="J10" s="48">
        <v>3</v>
      </c>
      <c r="K10" s="60">
        <f>167+418</f>
        <v>585</v>
      </c>
      <c r="L10" s="21">
        <v>32</v>
      </c>
      <c r="M10" s="46">
        <v>7035</v>
      </c>
      <c r="N10" s="46">
        <v>94</v>
      </c>
      <c r="O10" s="46">
        <v>40965</v>
      </c>
    </row>
    <row r="11" spans="2:16" s="10" customFormat="1" ht="32.1" customHeight="1" x14ac:dyDescent="0.15">
      <c r="B11" s="55" t="s">
        <v>5</v>
      </c>
      <c r="C11" s="37">
        <f t="shared" si="1"/>
        <v>0</v>
      </c>
      <c r="D11" s="46"/>
      <c r="E11" s="46"/>
      <c r="F11" s="47"/>
      <c r="G11" s="48"/>
      <c r="H11" s="48"/>
      <c r="I11" s="48"/>
      <c r="J11" s="48"/>
      <c r="K11" s="49"/>
      <c r="L11" s="21"/>
      <c r="M11" s="46"/>
      <c r="N11" s="46"/>
      <c r="O11" s="46"/>
    </row>
    <row r="12" spans="2:16" s="10" customFormat="1" ht="32.1" customHeight="1" x14ac:dyDescent="0.15">
      <c r="B12" s="55" t="s">
        <v>6</v>
      </c>
      <c r="C12" s="37">
        <f t="shared" si="1"/>
        <v>0</v>
      </c>
      <c r="D12" s="46"/>
      <c r="E12" s="46"/>
      <c r="F12" s="47"/>
      <c r="G12" s="48"/>
      <c r="H12" s="48"/>
      <c r="I12" s="48"/>
      <c r="J12" s="48"/>
      <c r="K12" s="49"/>
      <c r="L12" s="21"/>
      <c r="M12" s="46"/>
      <c r="N12" s="46"/>
      <c r="O12" s="46"/>
    </row>
    <row r="13" spans="2:16" s="10" customFormat="1" ht="32.1" customHeight="1" x14ac:dyDescent="0.15">
      <c r="B13" s="55" t="s">
        <v>7</v>
      </c>
      <c r="C13" s="37">
        <f t="shared" si="1"/>
        <v>0</v>
      </c>
      <c r="D13" s="67"/>
      <c r="E13" s="67"/>
      <c r="F13" s="70"/>
      <c r="G13" s="70"/>
      <c r="H13" s="70"/>
      <c r="I13" s="70"/>
      <c r="J13" s="70"/>
      <c r="K13" s="69"/>
      <c r="L13" s="68"/>
      <c r="M13" s="67"/>
      <c r="N13" s="67"/>
      <c r="O13" s="67"/>
    </row>
    <row r="14" spans="2:16" s="10" customFormat="1" ht="32.1" customHeight="1" x14ac:dyDescent="0.15">
      <c r="B14" s="55" t="s">
        <v>8</v>
      </c>
      <c r="C14" s="37">
        <f t="shared" si="1"/>
        <v>0</v>
      </c>
      <c r="D14" s="46"/>
      <c r="E14" s="46"/>
      <c r="F14" s="47"/>
      <c r="G14" s="48"/>
      <c r="H14" s="48"/>
      <c r="I14" s="48"/>
      <c r="J14" s="48"/>
      <c r="K14" s="49"/>
      <c r="L14" s="21"/>
      <c r="M14" s="46"/>
      <c r="N14" s="46"/>
      <c r="O14" s="46"/>
      <c r="P14" s="22"/>
    </row>
    <row r="15" spans="2:16" s="10" customFormat="1" ht="32.1" customHeight="1" x14ac:dyDescent="0.15">
      <c r="B15" s="55" t="s">
        <v>9</v>
      </c>
      <c r="C15" s="37">
        <f t="shared" si="1"/>
        <v>0</v>
      </c>
      <c r="D15" s="46"/>
      <c r="E15" s="46"/>
      <c r="F15" s="47"/>
      <c r="G15" s="48"/>
      <c r="H15" s="48"/>
      <c r="I15" s="48"/>
      <c r="J15" s="48"/>
      <c r="K15" s="49"/>
      <c r="L15" s="21"/>
      <c r="M15" s="46"/>
      <c r="N15" s="46"/>
      <c r="O15" s="46"/>
    </row>
    <row r="16" spans="2:16" s="10" customFormat="1" ht="31.5" customHeight="1" x14ac:dyDescent="0.15">
      <c r="B16" s="55" t="s">
        <v>10</v>
      </c>
      <c r="C16" s="37">
        <f t="shared" si="1"/>
        <v>0</v>
      </c>
      <c r="D16" s="32"/>
      <c r="E16" s="32"/>
      <c r="F16" s="32"/>
      <c r="G16" s="32"/>
      <c r="H16" s="21"/>
      <c r="I16" s="21"/>
      <c r="J16" s="21"/>
      <c r="K16" s="21"/>
      <c r="L16" s="21"/>
      <c r="M16" s="32"/>
      <c r="N16" s="32"/>
      <c r="O16" s="32"/>
    </row>
    <row r="17" spans="2:15" s="10" customFormat="1" ht="32.1" customHeight="1" x14ac:dyDescent="0.15">
      <c r="B17" s="55" t="s">
        <v>11</v>
      </c>
      <c r="C17" s="37">
        <f t="shared" si="1"/>
        <v>0</v>
      </c>
      <c r="D17" s="32"/>
      <c r="E17" s="32"/>
      <c r="F17" s="32"/>
      <c r="G17" s="32"/>
      <c r="H17" s="21"/>
      <c r="I17" s="21"/>
      <c r="J17" s="21"/>
      <c r="K17" s="21"/>
      <c r="L17" s="21"/>
      <c r="M17" s="32"/>
      <c r="N17" s="32"/>
      <c r="O17" s="32"/>
    </row>
  </sheetData>
  <mergeCells count="2">
    <mergeCell ref="B2:O2"/>
    <mergeCell ref="B3:O3"/>
  </mergeCells>
  <phoneticPr fontId="3" type="noConversion"/>
  <pageMargins left="1.1417322834645669" right="0.51181102362204722" top="1.1023622047244095" bottom="0.74803149606299213" header="0.31496062992125984" footer="0.31496062992125984"/>
  <pageSetup paperSize="9" scale="8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26</vt:i4>
      </vt:variant>
      <vt:variant>
        <vt:lpstr>이름이 지정된 범위</vt:lpstr>
      </vt:variant>
      <vt:variant>
        <vt:i4>15</vt:i4>
      </vt:variant>
    </vt:vector>
  </HeadingPairs>
  <TitlesOfParts>
    <vt:vector size="41" baseType="lpstr">
      <vt:lpstr>2001</vt:lpstr>
      <vt:lpstr>2002</vt:lpstr>
      <vt:lpstr>2003</vt:lpstr>
      <vt:lpstr>2004</vt:lpstr>
      <vt:lpstr>2005</vt:lpstr>
      <vt:lpstr>2006</vt:lpstr>
      <vt:lpstr>2007</vt:lpstr>
      <vt:lpstr>2008</vt:lpstr>
      <vt:lpstr>2009</vt:lpstr>
      <vt:lpstr>2010</vt:lpstr>
      <vt:lpstr>2011</vt:lpstr>
      <vt:lpstr>2012</vt:lpstr>
      <vt:lpstr>2013</vt:lpstr>
      <vt:lpstr>2014</vt:lpstr>
      <vt:lpstr>2015</vt:lpstr>
      <vt:lpstr>2016</vt:lpstr>
      <vt:lpstr>2017</vt:lpstr>
      <vt:lpstr>2018</vt:lpstr>
      <vt:lpstr>2019</vt:lpstr>
      <vt:lpstr>2020</vt:lpstr>
      <vt:lpstr>2021</vt:lpstr>
      <vt:lpstr>2022</vt:lpstr>
      <vt:lpstr>2023</vt:lpstr>
      <vt:lpstr>2024</vt:lpstr>
      <vt:lpstr>2025</vt:lpstr>
      <vt:lpstr>2026</vt:lpstr>
      <vt:lpstr>'2012'!Print_Area</vt:lpstr>
      <vt:lpstr>'2013'!Print_Area</vt:lpstr>
      <vt:lpstr>'2014'!Print_Area</vt:lpstr>
      <vt:lpstr>'2015'!Print_Area</vt:lpstr>
      <vt:lpstr>'2016'!Print_Area</vt:lpstr>
      <vt:lpstr>'2017'!Print_Area</vt:lpstr>
      <vt:lpstr>'2018'!Print_Area</vt:lpstr>
      <vt:lpstr>'2019'!Print_Area</vt:lpstr>
      <vt:lpstr>'2020'!Print_Area</vt:lpstr>
      <vt:lpstr>'2021'!Print_Area</vt:lpstr>
      <vt:lpstr>'2022'!Print_Area</vt:lpstr>
      <vt:lpstr>'2023'!Print_Area</vt:lpstr>
      <vt:lpstr>'2024'!Print_Area</vt:lpstr>
      <vt:lpstr>'2025'!Print_Area</vt:lpstr>
      <vt:lpstr>'2026'!Print_Area</vt:lpstr>
    </vt:vector>
  </TitlesOfParts>
  <Company>인천지방해양수산청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평택출장소</dc:creator>
  <cp:lastModifiedBy>MOF</cp:lastModifiedBy>
  <cp:lastPrinted>2023-11-01T04:07:35Z</cp:lastPrinted>
  <dcterms:created xsi:type="dcterms:W3CDTF">2001-04-13T00:53:16Z</dcterms:created>
  <dcterms:modified xsi:type="dcterms:W3CDTF">2026-06-22T15:08:44Z</dcterms:modified>
</cp:coreProperties>
</file>