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OF\Desktop\사용허가 727\운영계\3. 통계\2026\6월\"/>
    </mc:Choice>
  </mc:AlternateContent>
  <xr:revisionPtr revIDLastSave="0" documentId="8_{BD0F95D6-D727-4D3E-A1D3-1ADF2B9BDF34}" xr6:coauthVersionLast="47" xr6:coauthVersionMax="47" xr10:uidLastSave="{00000000-0000-0000-0000-000000000000}"/>
  <bookViews>
    <workbookView xWindow="30165" yWindow="1980" windowWidth="27240" windowHeight="13260" firstSheet="8" activeTab="19" xr2:uid="{00000000-000D-0000-FFFF-FFFF00000000}"/>
  </bookViews>
  <sheets>
    <sheet name="2009" sheetId="1" r:id="rId1"/>
    <sheet name="2010" sheetId="5" r:id="rId2"/>
    <sheet name="2011" sheetId="4" r:id="rId3"/>
    <sheet name="2012" sheetId="6" r:id="rId4"/>
    <sheet name="2013" sheetId="7" r:id="rId5"/>
    <sheet name="2014" sheetId="8" r:id="rId6"/>
    <sheet name="2015" sheetId="9" r:id="rId7"/>
    <sheet name="2016" sheetId="12" r:id="rId8"/>
    <sheet name="2017" sheetId="11" r:id="rId9"/>
    <sheet name="2018" sheetId="13" r:id="rId10"/>
    <sheet name="2019" sheetId="14" r:id="rId11"/>
    <sheet name="2020" sheetId="15" r:id="rId12"/>
    <sheet name="2021" sheetId="17" r:id="rId13"/>
    <sheet name="Sheet1" sheetId="10" state="hidden" r:id="rId14"/>
    <sheet name="2022" sheetId="18" r:id="rId15"/>
    <sheet name="2023" sheetId="21" r:id="rId16"/>
    <sheet name="2024" sheetId="22" r:id="rId17"/>
    <sheet name="2024 (2)" sheetId="24" r:id="rId18"/>
    <sheet name="2025" sheetId="23" r:id="rId19"/>
    <sheet name="2026" sheetId="26" r:id="rId20"/>
    <sheet name="Sheet2" sheetId="25" r:id="rId21"/>
  </sheets>
  <definedNames>
    <definedName name="_xlnm.Print_Area" localSheetId="3">'2012'!$A$1:$P$46</definedName>
    <definedName name="_xlnm.Print_Area" localSheetId="4">'2013'!$A$1:$P$46</definedName>
    <definedName name="_xlnm.Print_Area" localSheetId="5">'2014'!$A$1:$P$47</definedName>
    <definedName name="_xlnm.Print_Area" localSheetId="6">'2015'!$A$1:$P$47</definedName>
    <definedName name="_xlnm.Print_Area" localSheetId="7">'2016'!$A$1:$P$47</definedName>
    <definedName name="_xlnm.Print_Area" localSheetId="8">'2017'!$A$1:$P$47</definedName>
    <definedName name="_xlnm.Print_Area" localSheetId="9">'2018'!$A$1:$P$47</definedName>
    <definedName name="_xlnm.Print_Area" localSheetId="10">'2019'!$A$1:$P$48</definedName>
    <definedName name="_xlnm.Print_Area" localSheetId="11">'2020'!$A$1:$P$48</definedName>
    <definedName name="_xlnm.Print_Area" localSheetId="12">'2021'!$A$1:$P$48</definedName>
    <definedName name="_xlnm.Print_Area" localSheetId="14">'2022'!$A$1:$P$48</definedName>
    <definedName name="_xlnm.Print_Area" localSheetId="15">'2023'!$A$1:$P$48</definedName>
    <definedName name="_xlnm.Print_Area" localSheetId="16">'2024'!$A$1:$P$48</definedName>
    <definedName name="_xlnm.Print_Area" localSheetId="17">'2024 (2)'!$A$1:$P$48</definedName>
    <definedName name="_xlnm.Print_Area" localSheetId="18">'2025'!$A$1:$P$48</definedName>
    <definedName name="_xlnm.Print_Area" localSheetId="19">'2026'!$A$1:$P$48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I50" i="26" l="1"/>
  <c r="I43" i="26" l="1"/>
  <c r="I46" i="26"/>
  <c r="H50" i="26"/>
  <c r="I47" i="26" l="1"/>
  <c r="H47" i="26"/>
  <c r="H46" i="26"/>
  <c r="H43" i="26"/>
  <c r="H41" i="26"/>
  <c r="I41" i="26"/>
  <c r="I36" i="26"/>
  <c r="H36" i="26"/>
  <c r="I24" i="26" l="1"/>
  <c r="I22" i="26"/>
  <c r="I20" i="26"/>
  <c r="I14" i="26"/>
  <c r="I11" i="26"/>
  <c r="I18" i="26"/>
  <c r="I17" i="26"/>
  <c r="I5" i="26"/>
  <c r="I4" i="26"/>
  <c r="I9" i="26" s="1"/>
  <c r="H4" i="26" l="1"/>
  <c r="H3" i="26"/>
  <c r="H24" i="26"/>
  <c r="H23" i="26"/>
  <c r="H20" i="26"/>
  <c r="H18" i="26" l="1"/>
  <c r="H14" i="26"/>
  <c r="H10" i="26"/>
  <c r="H8" i="26"/>
  <c r="H17" i="26"/>
  <c r="H5" i="26"/>
  <c r="G50" i="26" l="1"/>
  <c r="G4" i="26"/>
  <c r="G3" i="26"/>
  <c r="G46" i="26" l="1"/>
  <c r="G47" i="26"/>
  <c r="G43" i="26"/>
  <c r="G41" i="26"/>
  <c r="G36" i="26"/>
  <c r="G24" i="26"/>
  <c r="G21" i="26"/>
  <c r="G20" i="26"/>
  <c r="G10" i="26" l="1"/>
  <c r="G8" i="26" l="1"/>
  <c r="G17" i="26"/>
  <c r="G5" i="26"/>
  <c r="E50" i="26"/>
  <c r="F50" i="26"/>
  <c r="G42" i="26"/>
  <c r="F4" i="26" l="1"/>
  <c r="F3" i="26"/>
  <c r="F47" i="26"/>
  <c r="F46" i="26"/>
  <c r="F43" i="26"/>
  <c r="F41" i="26"/>
  <c r="F36" i="26"/>
  <c r="F24" i="26"/>
  <c r="F21" i="26"/>
  <c r="F20" i="26"/>
  <c r="F10" i="26"/>
  <c r="F17" i="26"/>
  <c r="E4" i="26" l="1"/>
  <c r="E20" i="26" l="1"/>
  <c r="E47" i="26"/>
  <c r="E46" i="26"/>
  <c r="E43" i="26"/>
  <c r="E41" i="26"/>
  <c r="E36" i="26"/>
  <c r="E24" i="26"/>
  <c r="E21" i="26"/>
  <c r="E18" i="26"/>
  <c r="E17" i="26"/>
  <c r="E14" i="26"/>
  <c r="E11" i="26"/>
  <c r="E10" i="26"/>
  <c r="E8" i="26"/>
  <c r="E5" i="26"/>
  <c r="D4" i="26" l="1"/>
  <c r="D3" i="26"/>
  <c r="D47" i="26" l="1"/>
  <c r="D46" i="26"/>
  <c r="D43" i="26"/>
  <c r="D41" i="26"/>
  <c r="D42" i="26" s="1"/>
  <c r="D36" i="26"/>
  <c r="P36" i="26" s="1"/>
  <c r="D21" i="26"/>
  <c r="D20" i="26"/>
  <c r="D18" i="26"/>
  <c r="D15" i="26"/>
  <c r="D14" i="26"/>
  <c r="P14" i="26" s="1"/>
  <c r="D12" i="26"/>
  <c r="P12" i="26" s="1"/>
  <c r="D10" i="26"/>
  <c r="P10" i="26" s="1"/>
  <c r="D17" i="26"/>
  <c r="D5" i="26"/>
  <c r="D9" i="26" s="1"/>
  <c r="P47" i="26"/>
  <c r="P46" i="26"/>
  <c r="P43" i="26"/>
  <c r="N42" i="26"/>
  <c r="L42" i="26"/>
  <c r="J42" i="26"/>
  <c r="H42" i="26"/>
  <c r="F42" i="26"/>
  <c r="O42" i="26"/>
  <c r="K42" i="26"/>
  <c r="I42" i="26"/>
  <c r="P41" i="26"/>
  <c r="P40" i="26"/>
  <c r="P39" i="26"/>
  <c r="M42" i="26"/>
  <c r="P38" i="26"/>
  <c r="O37" i="26"/>
  <c r="K37" i="26"/>
  <c r="K44" i="26" s="1"/>
  <c r="E37" i="26"/>
  <c r="P35" i="26"/>
  <c r="P34" i="26"/>
  <c r="P33" i="26"/>
  <c r="P32" i="26"/>
  <c r="P31" i="26"/>
  <c r="P30" i="26"/>
  <c r="P29" i="26"/>
  <c r="P28" i="26"/>
  <c r="P27" i="26"/>
  <c r="I37" i="26"/>
  <c r="P25" i="26"/>
  <c r="P24" i="26"/>
  <c r="P23" i="26"/>
  <c r="M37" i="26"/>
  <c r="P22" i="26"/>
  <c r="P21" i="26"/>
  <c r="N37" i="26"/>
  <c r="L37" i="26"/>
  <c r="J37" i="26"/>
  <c r="H37" i="26"/>
  <c r="F37" i="26"/>
  <c r="P18" i="26"/>
  <c r="P17" i="26"/>
  <c r="E16" i="26"/>
  <c r="P13" i="26"/>
  <c r="O16" i="26"/>
  <c r="G16" i="26"/>
  <c r="P11" i="26"/>
  <c r="N16" i="26"/>
  <c r="M16" i="26"/>
  <c r="L16" i="26"/>
  <c r="K16" i="26"/>
  <c r="J16" i="26"/>
  <c r="I16" i="26"/>
  <c r="H16" i="26"/>
  <c r="P8" i="26"/>
  <c r="P7" i="26"/>
  <c r="P6" i="26"/>
  <c r="P5" i="26"/>
  <c r="O9" i="26"/>
  <c r="N9" i="26"/>
  <c r="N19" i="26" s="1"/>
  <c r="L9" i="26"/>
  <c r="H9" i="26"/>
  <c r="G9" i="26"/>
  <c r="P4" i="26"/>
  <c r="E9" i="26"/>
  <c r="M9" i="26"/>
  <c r="K9" i="26"/>
  <c r="K19" i="26" s="1"/>
  <c r="J9" i="26"/>
  <c r="P3" i="26"/>
  <c r="H44" i="26" l="1"/>
  <c r="O19" i="26"/>
  <c r="N44" i="26"/>
  <c r="M44" i="26"/>
  <c r="J44" i="26"/>
  <c r="D16" i="26"/>
  <c r="L44" i="26"/>
  <c r="J19" i="26"/>
  <c r="G19" i="26"/>
  <c r="F44" i="26"/>
  <c r="D37" i="26"/>
  <c r="D44" i="26" s="1"/>
  <c r="P15" i="26"/>
  <c r="D19" i="26"/>
  <c r="N45" i="26"/>
  <c r="N48" i="26" s="1"/>
  <c r="K45" i="26"/>
  <c r="K48" i="26" s="1"/>
  <c r="I44" i="26"/>
  <c r="J45" i="26"/>
  <c r="J48" i="26" s="1"/>
  <c r="M19" i="26"/>
  <c r="M45" i="26" s="1"/>
  <c r="M48" i="26" s="1"/>
  <c r="H19" i="26"/>
  <c r="H45" i="26" s="1"/>
  <c r="H48" i="26" s="1"/>
  <c r="E19" i="26"/>
  <c r="I19" i="26"/>
  <c r="O44" i="26"/>
  <c r="O45" i="26" s="1"/>
  <c r="O48" i="26" s="1"/>
  <c r="L19" i="26"/>
  <c r="F9" i="26"/>
  <c r="P9" i="26" s="1"/>
  <c r="P20" i="26"/>
  <c r="P26" i="26"/>
  <c r="E42" i="26"/>
  <c r="P42" i="26" s="1"/>
  <c r="G37" i="26"/>
  <c r="G44" i="26" s="1"/>
  <c r="G45" i="26" s="1"/>
  <c r="G48" i="26" s="1"/>
  <c r="F16" i="26"/>
  <c r="P16" i="26" s="1"/>
  <c r="O47" i="23"/>
  <c r="O46" i="23"/>
  <c r="O43" i="23"/>
  <c r="O41" i="23"/>
  <c r="O36" i="23"/>
  <c r="O23" i="23"/>
  <c r="O21" i="23"/>
  <c r="O20" i="23"/>
  <c r="O18" i="23"/>
  <c r="O13" i="23"/>
  <c r="O14" i="23"/>
  <c r="O8" i="23"/>
  <c r="O17" i="23"/>
  <c r="O4" i="23"/>
  <c r="O5" i="23"/>
  <c r="I45" i="26" l="1"/>
  <c r="I48" i="26" s="1"/>
  <c r="L45" i="26"/>
  <c r="L48" i="26" s="1"/>
  <c r="E44" i="26"/>
  <c r="E45" i="26" s="1"/>
  <c r="E48" i="26" s="1"/>
  <c r="P37" i="26"/>
  <c r="D45" i="26"/>
  <c r="F19" i="26"/>
  <c r="N4" i="23"/>
  <c r="N3" i="23"/>
  <c r="N46" i="23"/>
  <c r="N47" i="23"/>
  <c r="N43" i="23"/>
  <c r="N41" i="23"/>
  <c r="N36" i="23"/>
  <c r="N33" i="23"/>
  <c r="N21" i="23"/>
  <c r="N20" i="23"/>
  <c r="N18" i="23"/>
  <c r="N11" i="23"/>
  <c r="N10" i="23"/>
  <c r="N8" i="23"/>
  <c r="N17" i="23"/>
  <c r="N5" i="23"/>
  <c r="D48" i="26" l="1"/>
  <c r="F45" i="26"/>
  <c r="F48" i="26" s="1"/>
  <c r="P19" i="26"/>
  <c r="R19" i="26"/>
  <c r="P44" i="26"/>
  <c r="P3" i="24"/>
  <c r="D4" i="24"/>
  <c r="E4" i="24"/>
  <c r="E9" i="24" s="1"/>
  <c r="M4" i="24"/>
  <c r="P4" i="24"/>
  <c r="D5" i="24"/>
  <c r="E5" i="24"/>
  <c r="P5" i="24"/>
  <c r="F6" i="24"/>
  <c r="F9" i="24" s="1"/>
  <c r="G6" i="24"/>
  <c r="G9" i="24" s="1"/>
  <c r="F7" i="24"/>
  <c r="G7" i="24"/>
  <c r="D8" i="24"/>
  <c r="D9" i="24" s="1"/>
  <c r="E8" i="24"/>
  <c r="K8" i="24"/>
  <c r="M8" i="24"/>
  <c r="H9" i="24"/>
  <c r="H19" i="24" s="1"/>
  <c r="I9" i="24"/>
  <c r="J9" i="24"/>
  <c r="J19" i="24" s="1"/>
  <c r="J45" i="24" s="1"/>
  <c r="J48" i="24" s="1"/>
  <c r="K9" i="24"/>
  <c r="M9" i="24"/>
  <c r="N9" i="24"/>
  <c r="O9" i="24"/>
  <c r="O19" i="24" s="1"/>
  <c r="O45" i="24" s="1"/>
  <c r="O48" i="24" s="1"/>
  <c r="E10" i="24"/>
  <c r="E16" i="24" s="1"/>
  <c r="F10" i="24"/>
  <c r="M10" i="24"/>
  <c r="M16" i="24" s="1"/>
  <c r="M19" i="24" s="1"/>
  <c r="D11" i="24"/>
  <c r="D16" i="24" s="1"/>
  <c r="E11" i="24"/>
  <c r="F11" i="24"/>
  <c r="K11" i="24"/>
  <c r="K16" i="24" s="1"/>
  <c r="K19" i="24" s="1"/>
  <c r="F12" i="24"/>
  <c r="G12" i="24"/>
  <c r="P12" i="24" s="1"/>
  <c r="F13" i="24"/>
  <c r="P13" i="24" s="1"/>
  <c r="F14" i="24"/>
  <c r="M14" i="24"/>
  <c r="P14" i="24"/>
  <c r="G15" i="24"/>
  <c r="P15" i="24"/>
  <c r="G16" i="24"/>
  <c r="H16" i="24"/>
  <c r="I16" i="24"/>
  <c r="I19" i="24" s="1"/>
  <c r="J16" i="24"/>
  <c r="N16" i="24"/>
  <c r="N19" i="24" s="1"/>
  <c r="O16" i="24"/>
  <c r="D17" i="24"/>
  <c r="E17" i="24"/>
  <c r="F17" i="24"/>
  <c r="M17" i="24"/>
  <c r="E18" i="24"/>
  <c r="F18" i="24"/>
  <c r="M18" i="24"/>
  <c r="D20" i="24"/>
  <c r="E20" i="24"/>
  <c r="F20" i="24"/>
  <c r="K20" i="24"/>
  <c r="K37" i="24" s="1"/>
  <c r="M20" i="24"/>
  <c r="M37" i="24" s="1"/>
  <c r="D21" i="24"/>
  <c r="E21" i="24"/>
  <c r="F21" i="24"/>
  <c r="K21" i="24"/>
  <c r="M21" i="24"/>
  <c r="D22" i="24"/>
  <c r="E22" i="24"/>
  <c r="F22" i="24"/>
  <c r="F37" i="24" s="1"/>
  <c r="F44" i="24" s="1"/>
  <c r="D23" i="24"/>
  <c r="E23" i="24"/>
  <c r="F23" i="24"/>
  <c r="E24" i="24"/>
  <c r="F24" i="24"/>
  <c r="K24" i="24"/>
  <c r="M24" i="24"/>
  <c r="P24" i="24"/>
  <c r="E25" i="24"/>
  <c r="F25" i="24"/>
  <c r="G25" i="24"/>
  <c r="P25" i="24"/>
  <c r="E26" i="24"/>
  <c r="F26" i="24"/>
  <c r="P26" i="24" s="1"/>
  <c r="F27" i="24"/>
  <c r="G27" i="24"/>
  <c r="E28" i="24"/>
  <c r="F28" i="24"/>
  <c r="F29" i="24"/>
  <c r="P29" i="24" s="1"/>
  <c r="E30" i="24"/>
  <c r="P30" i="24" s="1"/>
  <c r="F30" i="24"/>
  <c r="F31" i="24"/>
  <c r="P31" i="24"/>
  <c r="F32" i="24"/>
  <c r="G32" i="24"/>
  <c r="F33" i="24"/>
  <c r="P33" i="24" s="1"/>
  <c r="E34" i="24"/>
  <c r="F34" i="24"/>
  <c r="P34" i="24"/>
  <c r="F35" i="24"/>
  <c r="G35" i="24"/>
  <c r="P35" i="24" s="1"/>
  <c r="D36" i="24"/>
  <c r="E36" i="24"/>
  <c r="F36" i="24"/>
  <c r="K36" i="24"/>
  <c r="M36" i="24"/>
  <c r="H37" i="24"/>
  <c r="H44" i="24" s="1"/>
  <c r="I37" i="24"/>
  <c r="I44" i="24" s="1"/>
  <c r="J37" i="24"/>
  <c r="N37" i="24"/>
  <c r="O37" i="24"/>
  <c r="F38" i="24"/>
  <c r="K38" i="24"/>
  <c r="K42" i="24" s="1"/>
  <c r="M38" i="24"/>
  <c r="M42" i="24" s="1"/>
  <c r="F39" i="24"/>
  <c r="P39" i="24" s="1"/>
  <c r="F40" i="24"/>
  <c r="P40" i="24" s="1"/>
  <c r="D41" i="24"/>
  <c r="E41" i="24"/>
  <c r="E42" i="24" s="1"/>
  <c r="F41" i="24"/>
  <c r="K41" i="24"/>
  <c r="M41" i="24"/>
  <c r="D42" i="24"/>
  <c r="F42" i="24"/>
  <c r="G42" i="24"/>
  <c r="H42" i="24"/>
  <c r="I42" i="24"/>
  <c r="J42" i="24"/>
  <c r="N42" i="24"/>
  <c r="O42" i="24"/>
  <c r="D43" i="24"/>
  <c r="E43" i="24"/>
  <c r="F43" i="24"/>
  <c r="K43" i="24"/>
  <c r="M43" i="24"/>
  <c r="J44" i="24"/>
  <c r="N44" i="24"/>
  <c r="O44" i="24"/>
  <c r="D46" i="24"/>
  <c r="E46" i="24"/>
  <c r="F46" i="24"/>
  <c r="K46" i="24"/>
  <c r="M46" i="24"/>
  <c r="D47" i="24"/>
  <c r="E47" i="24"/>
  <c r="F47" i="24"/>
  <c r="K47" i="24"/>
  <c r="M47" i="24"/>
  <c r="K44" i="24" l="1"/>
  <c r="K45" i="24" s="1"/>
  <c r="K48" i="24" s="1"/>
  <c r="H45" i="24"/>
  <c r="H48" i="24" s="1"/>
  <c r="M44" i="24"/>
  <c r="P17" i="24"/>
  <c r="P7" i="24"/>
  <c r="M45" i="24"/>
  <c r="M48" i="24" s="1"/>
  <c r="P27" i="24"/>
  <c r="P43" i="24"/>
  <c r="G37" i="24"/>
  <c r="G44" i="24" s="1"/>
  <c r="P28" i="24"/>
  <c r="P42" i="24"/>
  <c r="P22" i="24"/>
  <c r="N45" i="24"/>
  <c r="N48" i="24" s="1"/>
  <c r="I45" i="24"/>
  <c r="I48" i="24" s="1"/>
  <c r="G19" i="24"/>
  <c r="G45" i="24" s="1"/>
  <c r="G48" i="24" s="1"/>
  <c r="P20" i="24"/>
  <c r="P47" i="24"/>
  <c r="P38" i="24"/>
  <c r="P8" i="24"/>
  <c r="P6" i="24"/>
  <c r="E19" i="24"/>
  <c r="D37" i="24"/>
  <c r="D44" i="24" s="1"/>
  <c r="P10" i="24"/>
  <c r="P21" i="24"/>
  <c r="P36" i="24"/>
  <c r="P41" i="24"/>
  <c r="P46" i="24"/>
  <c r="P23" i="24"/>
  <c r="P11" i="24"/>
  <c r="P45" i="26"/>
  <c r="P48" i="26"/>
  <c r="P9" i="24"/>
  <c r="D19" i="24"/>
  <c r="E37" i="24"/>
  <c r="E44" i="24" s="1"/>
  <c r="P32" i="24"/>
  <c r="P18" i="24"/>
  <c r="F16" i="24"/>
  <c r="F19" i="24" s="1"/>
  <c r="F45" i="24" s="1"/>
  <c r="F48" i="24" s="1"/>
  <c r="P44" i="24" l="1"/>
  <c r="R19" i="24"/>
  <c r="P16" i="24"/>
  <c r="P37" i="24"/>
  <c r="E45" i="24"/>
  <c r="E48" i="24" s="1"/>
  <c r="D45" i="24"/>
  <c r="P19" i="24"/>
  <c r="P45" i="24" l="1"/>
  <c r="D48" i="24"/>
  <c r="P48" i="24" s="1"/>
  <c r="M4" i="23" l="1"/>
  <c r="M3" i="23"/>
  <c r="M47" i="23" l="1"/>
  <c r="M46" i="23"/>
  <c r="M43" i="23"/>
  <c r="M41" i="23"/>
  <c r="M36" i="23"/>
  <c r="M24" i="23"/>
  <c r="M21" i="23"/>
  <c r="M22" i="23"/>
  <c r="M20" i="23"/>
  <c r="M17" i="23"/>
  <c r="M14" i="23"/>
  <c r="M11" i="23"/>
  <c r="M10" i="23"/>
  <c r="M5" i="23"/>
  <c r="M39" i="23" l="1"/>
  <c r="M34" i="23"/>
  <c r="M33" i="23"/>
  <c r="M28" i="23"/>
  <c r="M26" i="23"/>
  <c r="L47" i="23" l="1"/>
  <c r="L46" i="23"/>
  <c r="L43" i="23"/>
  <c r="L41" i="23"/>
  <c r="L36" i="23"/>
  <c r="L24" i="23"/>
  <c r="L23" i="23"/>
  <c r="L21" i="23"/>
  <c r="L20" i="23"/>
  <c r="L4" i="23"/>
  <c r="L17" i="23"/>
  <c r="K17" i="23"/>
  <c r="J17" i="23"/>
  <c r="L14" i="23"/>
  <c r="L11" i="23"/>
  <c r="L10" i="23"/>
  <c r="L8" i="23"/>
  <c r="L5" i="23"/>
  <c r="K47" i="23" l="1"/>
  <c r="K46" i="23"/>
  <c r="K43" i="23"/>
  <c r="K41" i="23"/>
  <c r="K36" i="23"/>
  <c r="K21" i="23"/>
  <c r="K20" i="23"/>
  <c r="K18" i="23"/>
  <c r="K14" i="23"/>
  <c r="K10" i="23"/>
  <c r="K8" i="23"/>
  <c r="K5" i="23"/>
  <c r="K4" i="23"/>
  <c r="K3" i="23"/>
  <c r="J47" i="23" l="1"/>
  <c r="J46" i="23"/>
  <c r="J43" i="23"/>
  <c r="J41" i="23"/>
  <c r="J36" i="23"/>
  <c r="J24" i="23"/>
  <c r="J21" i="23"/>
  <c r="J20" i="23"/>
  <c r="J14" i="23"/>
  <c r="J12" i="23"/>
  <c r="J11" i="23"/>
  <c r="J10" i="23"/>
  <c r="J4" i="23"/>
  <c r="J3" i="23"/>
  <c r="J5" i="23"/>
  <c r="I8" i="23" l="1"/>
  <c r="H8" i="23"/>
  <c r="I4" i="23"/>
  <c r="I17" i="23"/>
  <c r="I47" i="23"/>
  <c r="I46" i="23"/>
  <c r="I43" i="23"/>
  <c r="I41" i="23"/>
  <c r="I20" i="23"/>
  <c r="I36" i="23"/>
  <c r="I26" i="23"/>
  <c r="I24" i="23"/>
  <c r="I18" i="23"/>
  <c r="I11" i="23"/>
  <c r="I10" i="23"/>
  <c r="I14" i="23"/>
  <c r="I5" i="23"/>
  <c r="I3" i="23"/>
  <c r="H4" i="23" l="1"/>
  <c r="H47" i="23"/>
  <c r="H46" i="23"/>
  <c r="H43" i="23"/>
  <c r="H41" i="23"/>
  <c r="H36" i="23"/>
  <c r="H26" i="23"/>
  <c r="H24" i="23"/>
  <c r="H21" i="23"/>
  <c r="H20" i="23"/>
  <c r="H18" i="23"/>
  <c r="H17" i="23"/>
  <c r="H14" i="23"/>
  <c r="H10" i="23"/>
  <c r="H5" i="23"/>
  <c r="G5" i="23"/>
  <c r="G43" i="23" l="1"/>
  <c r="F3" i="23"/>
  <c r="P3" i="23"/>
  <c r="E4" i="23"/>
  <c r="F4" i="23"/>
  <c r="G4" i="23"/>
  <c r="E5" i="23"/>
  <c r="F5" i="23"/>
  <c r="P6" i="23"/>
  <c r="P7" i="23"/>
  <c r="F8" i="23"/>
  <c r="G8" i="23"/>
  <c r="D9" i="23"/>
  <c r="E9" i="23"/>
  <c r="G9" i="23"/>
  <c r="H9" i="23"/>
  <c r="I9" i="23"/>
  <c r="J9" i="23"/>
  <c r="K9" i="23"/>
  <c r="L9" i="23"/>
  <c r="M9" i="23"/>
  <c r="N9" i="23"/>
  <c r="O9" i="23"/>
  <c r="F10" i="23"/>
  <c r="P10" i="23" s="1"/>
  <c r="F11" i="23"/>
  <c r="G11" i="23"/>
  <c r="P12" i="23"/>
  <c r="G13" i="23"/>
  <c r="P13" i="23"/>
  <c r="E14" i="23"/>
  <c r="E16" i="23" s="1"/>
  <c r="F14" i="23"/>
  <c r="P15" i="23"/>
  <c r="D16" i="23"/>
  <c r="G16" i="23"/>
  <c r="H16" i="23"/>
  <c r="J16" i="23"/>
  <c r="K16" i="23"/>
  <c r="L16" i="23"/>
  <c r="M16" i="23"/>
  <c r="N16" i="23"/>
  <c r="O16" i="23"/>
  <c r="E17" i="23"/>
  <c r="F17" i="23"/>
  <c r="G17" i="23"/>
  <c r="P17" i="23"/>
  <c r="P18" i="23"/>
  <c r="N19" i="23"/>
  <c r="E20" i="23"/>
  <c r="F20" i="23"/>
  <c r="G20" i="23"/>
  <c r="E21" i="23"/>
  <c r="G21" i="23"/>
  <c r="F22" i="23"/>
  <c r="P22" i="23"/>
  <c r="F23" i="23"/>
  <c r="G23" i="23"/>
  <c r="E24" i="23"/>
  <c r="F24" i="23"/>
  <c r="G24" i="23"/>
  <c r="P25" i="23"/>
  <c r="P26" i="23"/>
  <c r="P27" i="23"/>
  <c r="F28" i="23"/>
  <c r="P28" i="23"/>
  <c r="P29" i="23"/>
  <c r="P30" i="23"/>
  <c r="P31" i="23"/>
  <c r="P32" i="23"/>
  <c r="P33" i="23"/>
  <c r="P34" i="23"/>
  <c r="P35" i="23"/>
  <c r="E36" i="23"/>
  <c r="F36" i="23"/>
  <c r="G36" i="23"/>
  <c r="D37" i="23"/>
  <c r="D44" i="23" s="1"/>
  <c r="H37" i="23"/>
  <c r="I37" i="23"/>
  <c r="J37" i="23"/>
  <c r="K37" i="23"/>
  <c r="L37" i="23"/>
  <c r="M37" i="23"/>
  <c r="N37" i="23"/>
  <c r="O37" i="23"/>
  <c r="P38" i="23"/>
  <c r="P39" i="23"/>
  <c r="P40" i="23"/>
  <c r="E41" i="23"/>
  <c r="F41" i="23"/>
  <c r="F42" i="23" s="1"/>
  <c r="G41" i="23"/>
  <c r="G42" i="23" s="1"/>
  <c r="D42" i="23"/>
  <c r="E42" i="23"/>
  <c r="H42" i="23"/>
  <c r="I42" i="23"/>
  <c r="J42" i="23"/>
  <c r="K42" i="23"/>
  <c r="K44" i="23" s="1"/>
  <c r="L42" i="23"/>
  <c r="M42" i="23"/>
  <c r="N42" i="23"/>
  <c r="O42" i="23"/>
  <c r="E43" i="23"/>
  <c r="F43" i="23"/>
  <c r="E46" i="23"/>
  <c r="F46" i="23"/>
  <c r="G46" i="23"/>
  <c r="E47" i="23"/>
  <c r="F47" i="23"/>
  <c r="G47" i="23"/>
  <c r="G19" i="23" l="1"/>
  <c r="P21" i="23"/>
  <c r="P24" i="23"/>
  <c r="P23" i="23"/>
  <c r="G37" i="23"/>
  <c r="G44" i="23" s="1"/>
  <c r="P41" i="23"/>
  <c r="P5" i="23"/>
  <c r="P46" i="23"/>
  <c r="F9" i="23"/>
  <c r="E37" i="23"/>
  <c r="E44" i="23" s="1"/>
  <c r="D19" i="23"/>
  <c r="P36" i="23"/>
  <c r="P8" i="23"/>
  <c r="F37" i="23"/>
  <c r="P47" i="23"/>
  <c r="P20" i="23"/>
  <c r="P4" i="23"/>
  <c r="P43" i="23"/>
  <c r="O44" i="23"/>
  <c r="O19" i="23"/>
  <c r="N44" i="23"/>
  <c r="N45" i="23" s="1"/>
  <c r="N48" i="23" s="1"/>
  <c r="M44" i="23"/>
  <c r="M19" i="23"/>
  <c r="L44" i="23"/>
  <c r="L19" i="23"/>
  <c r="K19" i="23"/>
  <c r="K45" i="23" s="1"/>
  <c r="K48" i="23" s="1"/>
  <c r="J19" i="23"/>
  <c r="J44" i="23"/>
  <c r="I44" i="23"/>
  <c r="H19" i="23"/>
  <c r="H44" i="23"/>
  <c r="P42" i="23"/>
  <c r="D45" i="23"/>
  <c r="G45" i="23"/>
  <c r="G48" i="23" s="1"/>
  <c r="E19" i="23"/>
  <c r="E45" i="23" s="1"/>
  <c r="E48" i="23" s="1"/>
  <c r="F44" i="23"/>
  <c r="P9" i="23"/>
  <c r="P37" i="23"/>
  <c r="F16" i="23"/>
  <c r="P14" i="23"/>
  <c r="O45" i="23" l="1"/>
  <c r="O48" i="23" s="1"/>
  <c r="M45" i="23"/>
  <c r="M48" i="23" s="1"/>
  <c r="L45" i="23"/>
  <c r="L48" i="23" s="1"/>
  <c r="J45" i="23"/>
  <c r="J48" i="23" s="1"/>
  <c r="H45" i="23"/>
  <c r="H48" i="23" s="1"/>
  <c r="P44" i="23"/>
  <c r="F19" i="23"/>
  <c r="D48" i="23"/>
  <c r="F45" i="23" l="1"/>
  <c r="F48" i="23" l="1"/>
  <c r="G42" i="22" l="1"/>
  <c r="G35" i="22"/>
  <c r="G32" i="22"/>
  <c r="G27" i="22"/>
  <c r="G25" i="22"/>
  <c r="G37" i="22"/>
  <c r="G15" i="22"/>
  <c r="G12" i="22"/>
  <c r="G16" i="22"/>
  <c r="G7" i="22"/>
  <c r="G6" i="22"/>
  <c r="G9" i="22"/>
  <c r="G44" i="22" l="1"/>
  <c r="G19" i="22"/>
  <c r="G45" i="22" l="1"/>
  <c r="G48" i="22" s="1"/>
  <c r="F7" i="22" l="1"/>
  <c r="F6" i="22"/>
  <c r="F46" i="22" l="1"/>
  <c r="F47" i="22"/>
  <c r="F43" i="22"/>
  <c r="F41" i="22"/>
  <c r="F40" i="22"/>
  <c r="F39" i="22"/>
  <c r="F38" i="22"/>
  <c r="F36" i="22"/>
  <c r="F35" i="22"/>
  <c r="F34" i="22"/>
  <c r="F33" i="22"/>
  <c r="F32" i="22"/>
  <c r="F31" i="22"/>
  <c r="F30" i="22"/>
  <c r="F29" i="22"/>
  <c r="F28" i="22"/>
  <c r="F27" i="22"/>
  <c r="F26" i="22"/>
  <c r="F25" i="22"/>
  <c r="F24" i="22"/>
  <c r="F23" i="22"/>
  <c r="F22" i="22"/>
  <c r="F21" i="22"/>
  <c r="F20" i="22"/>
  <c r="F18" i="22"/>
  <c r="F17" i="22"/>
  <c r="F14" i="22"/>
  <c r="F13" i="22"/>
  <c r="F12" i="22"/>
  <c r="F11" i="22"/>
  <c r="F10" i="22"/>
  <c r="E18" i="22" l="1"/>
  <c r="E17" i="22"/>
  <c r="E47" i="22"/>
  <c r="E46" i="22"/>
  <c r="E43" i="22"/>
  <c r="E41" i="22"/>
  <c r="E36" i="22"/>
  <c r="E34" i="22"/>
  <c r="E30" i="22"/>
  <c r="E28" i="22"/>
  <c r="E26" i="22"/>
  <c r="E25" i="22"/>
  <c r="E24" i="22"/>
  <c r="E23" i="22"/>
  <c r="E22" i="22"/>
  <c r="E21" i="22"/>
  <c r="E20" i="22"/>
  <c r="E11" i="22" l="1"/>
  <c r="E10" i="22"/>
  <c r="E8" i="22"/>
  <c r="E5" i="22"/>
  <c r="E4" i="22"/>
  <c r="E9" i="22" s="1"/>
  <c r="D4" i="22" l="1"/>
  <c r="D43" i="22"/>
  <c r="D47" i="22"/>
  <c r="D46" i="22"/>
  <c r="D41" i="22"/>
  <c r="D36" i="22"/>
  <c r="D23" i="22"/>
  <c r="D22" i="22"/>
  <c r="D21" i="22"/>
  <c r="D20" i="22"/>
  <c r="D11" i="22"/>
  <c r="P11" i="22" s="1"/>
  <c r="D8" i="22"/>
  <c r="P8" i="22" s="1"/>
  <c r="D17" i="22"/>
  <c r="D5" i="22"/>
  <c r="P5" i="22" s="1"/>
  <c r="P47" i="22"/>
  <c r="P46" i="22"/>
  <c r="P43" i="22"/>
  <c r="O42" i="22"/>
  <c r="N42" i="22"/>
  <c r="M42" i="22"/>
  <c r="L42" i="22"/>
  <c r="I42" i="22"/>
  <c r="E42" i="22"/>
  <c r="D42" i="22"/>
  <c r="K42" i="22"/>
  <c r="J42" i="22"/>
  <c r="H42" i="22"/>
  <c r="P41" i="22"/>
  <c r="P40" i="22"/>
  <c r="P39" i="22"/>
  <c r="P38" i="22"/>
  <c r="O37" i="22"/>
  <c r="N37" i="22"/>
  <c r="M37" i="22"/>
  <c r="L37" i="22"/>
  <c r="P36" i="22"/>
  <c r="P35" i="22"/>
  <c r="P34" i="22"/>
  <c r="P33" i="22"/>
  <c r="P32" i="22"/>
  <c r="P31" i="22"/>
  <c r="P30" i="22"/>
  <c r="P29" i="22"/>
  <c r="P28" i="22"/>
  <c r="P27" i="22"/>
  <c r="P26" i="22"/>
  <c r="P25" i="22"/>
  <c r="P24" i="22"/>
  <c r="P23" i="22"/>
  <c r="P22" i="22"/>
  <c r="P21" i="22"/>
  <c r="K37" i="22"/>
  <c r="K44" i="22" s="1"/>
  <c r="J37" i="22"/>
  <c r="I37" i="22"/>
  <c r="H37" i="22"/>
  <c r="F37" i="22"/>
  <c r="E37" i="22"/>
  <c r="P18" i="22"/>
  <c r="P17" i="22"/>
  <c r="O16" i="22"/>
  <c r="N16" i="22"/>
  <c r="M16" i="22"/>
  <c r="L16" i="22"/>
  <c r="K16" i="22"/>
  <c r="J16" i="22"/>
  <c r="F16" i="22"/>
  <c r="P15" i="22"/>
  <c r="P14" i="22"/>
  <c r="P13" i="22"/>
  <c r="P12" i="22"/>
  <c r="H16" i="22"/>
  <c r="I16" i="22"/>
  <c r="E16" i="22"/>
  <c r="O9" i="22"/>
  <c r="N9" i="22"/>
  <c r="M9" i="22"/>
  <c r="M19" i="22" s="1"/>
  <c r="L9" i="22"/>
  <c r="L19" i="22" s="1"/>
  <c r="D9" i="22"/>
  <c r="P7" i="22"/>
  <c r="P6" i="22"/>
  <c r="K9" i="22"/>
  <c r="I9" i="22"/>
  <c r="H9" i="22"/>
  <c r="P4" i="22"/>
  <c r="F9" i="22"/>
  <c r="F19" i="22" s="1"/>
  <c r="J9" i="22"/>
  <c r="N44" i="22" l="1"/>
  <c r="O19" i="22"/>
  <c r="D37" i="22"/>
  <c r="D44" i="22" s="1"/>
  <c r="I19" i="22"/>
  <c r="H44" i="22"/>
  <c r="E44" i="22"/>
  <c r="D16" i="22"/>
  <c r="D19" i="22" s="1"/>
  <c r="I44" i="22"/>
  <c r="I45" i="22" s="1"/>
  <c r="I48" i="22" s="1"/>
  <c r="O44" i="22"/>
  <c r="L44" i="22"/>
  <c r="J44" i="22"/>
  <c r="M44" i="22"/>
  <c r="M45" i="22" s="1"/>
  <c r="M48" i="22" s="1"/>
  <c r="O45" i="22"/>
  <c r="O48" i="22" s="1"/>
  <c r="L45" i="22"/>
  <c r="L48" i="22" s="1"/>
  <c r="J19" i="22"/>
  <c r="H19" i="22"/>
  <c r="H45" i="22" s="1"/>
  <c r="H48" i="22" s="1"/>
  <c r="K19" i="22"/>
  <c r="K45" i="22" s="1"/>
  <c r="K48" i="22" s="1"/>
  <c r="N19" i="22"/>
  <c r="P37" i="22"/>
  <c r="E19" i="22"/>
  <c r="E45" i="22" s="1"/>
  <c r="E48" i="22" s="1"/>
  <c r="P3" i="22"/>
  <c r="F42" i="22"/>
  <c r="P42" i="22" s="1"/>
  <c r="P10" i="22"/>
  <c r="P20" i="22"/>
  <c r="L42" i="21"/>
  <c r="L37" i="21"/>
  <c r="L16" i="21"/>
  <c r="L9" i="21"/>
  <c r="D45" i="22" l="1"/>
  <c r="R19" i="22"/>
  <c r="N45" i="22"/>
  <c r="N48" i="22" s="1"/>
  <c r="J45" i="22"/>
  <c r="J48" i="22" s="1"/>
  <c r="P16" i="22"/>
  <c r="P19" i="22"/>
  <c r="D48" i="22"/>
  <c r="F44" i="22"/>
  <c r="P9" i="22"/>
  <c r="L44" i="21"/>
  <c r="L19" i="21"/>
  <c r="K36" i="21"/>
  <c r="K22" i="21"/>
  <c r="K11" i="21"/>
  <c r="K47" i="21"/>
  <c r="K46" i="21"/>
  <c r="K43" i="21"/>
  <c r="K41" i="21"/>
  <c r="K30" i="21"/>
  <c r="K24" i="21"/>
  <c r="K23" i="21"/>
  <c r="K21" i="21"/>
  <c r="K20" i="21"/>
  <c r="K10" i="21"/>
  <c r="K4" i="21"/>
  <c r="F45" i="22" l="1"/>
  <c r="P44" i="22"/>
  <c r="L45" i="21"/>
  <c r="J47" i="21"/>
  <c r="J3" i="21"/>
  <c r="J46" i="21"/>
  <c r="J43" i="21"/>
  <c r="J41" i="21"/>
  <c r="J36" i="21"/>
  <c r="J30" i="21"/>
  <c r="J24" i="21"/>
  <c r="J23" i="21"/>
  <c r="J22" i="21"/>
  <c r="J21" i="21"/>
  <c r="J20" i="21"/>
  <c r="J11" i="21"/>
  <c r="J10" i="21"/>
  <c r="J4" i="21"/>
  <c r="F48" i="22" l="1"/>
  <c r="P48" i="22" s="1"/>
  <c r="P45" i="22"/>
  <c r="I30" i="21"/>
  <c r="I47" i="21"/>
  <c r="I46" i="21"/>
  <c r="I43" i="21"/>
  <c r="I41" i="21"/>
  <c r="I36" i="21"/>
  <c r="I24" i="21"/>
  <c r="I20" i="21"/>
  <c r="I10" i="21"/>
  <c r="I8" i="21"/>
  <c r="I5" i="21"/>
  <c r="I4" i="21"/>
  <c r="I3" i="21"/>
  <c r="H46" i="21" l="1"/>
  <c r="H43" i="21"/>
  <c r="H41" i="21"/>
  <c r="H36" i="21"/>
  <c r="H30" i="21"/>
  <c r="H24" i="21"/>
  <c r="H23" i="21"/>
  <c r="H22" i="21"/>
  <c r="H21" i="21"/>
  <c r="H20" i="21"/>
  <c r="H17" i="21"/>
  <c r="H11" i="21"/>
  <c r="H10" i="21"/>
  <c r="H47" i="21"/>
  <c r="H8" i="21"/>
  <c r="H5" i="21"/>
  <c r="H4" i="21"/>
  <c r="G43" i="21" l="1"/>
  <c r="G47" i="21"/>
  <c r="G46" i="21"/>
  <c r="G41" i="21"/>
  <c r="G36" i="21"/>
  <c r="G30" i="21"/>
  <c r="G24" i="21"/>
  <c r="G23" i="21"/>
  <c r="G22" i="21"/>
  <c r="G21" i="21"/>
  <c r="G20" i="21"/>
  <c r="G18" i="21"/>
  <c r="G17" i="21"/>
  <c r="G4" i="21"/>
  <c r="G3" i="21"/>
  <c r="F24" i="21" l="1"/>
  <c r="F23" i="21"/>
  <c r="F36" i="21"/>
  <c r="F41" i="21"/>
  <c r="F30" i="21"/>
  <c r="F43" i="21"/>
  <c r="F47" i="21"/>
  <c r="F46" i="21"/>
  <c r="F22" i="21"/>
  <c r="F21" i="21"/>
  <c r="F20" i="21"/>
  <c r="F17" i="21"/>
  <c r="F8" i="21"/>
  <c r="F5" i="21"/>
  <c r="F4" i="21" l="1"/>
  <c r="E4" i="21" l="1"/>
  <c r="E5" i="21"/>
  <c r="E10" i="21"/>
  <c r="E11" i="21"/>
  <c r="E15" i="21"/>
  <c r="E17" i="21"/>
  <c r="E18" i="21"/>
  <c r="E16" i="21" l="1"/>
  <c r="E47" i="21"/>
  <c r="E46" i="21"/>
  <c r="E43" i="21"/>
  <c r="E41" i="21"/>
  <c r="E36" i="21"/>
  <c r="E30" i="21"/>
  <c r="E20" i="21"/>
  <c r="E37" i="21" s="1"/>
  <c r="E42" i="21"/>
  <c r="D42" i="21" l="1"/>
  <c r="P47" i="21"/>
  <c r="P46" i="21"/>
  <c r="P43" i="21"/>
  <c r="O42" i="21"/>
  <c r="K42" i="21"/>
  <c r="G42" i="21"/>
  <c r="N42" i="21"/>
  <c r="J42" i="21"/>
  <c r="I42" i="21"/>
  <c r="H42" i="21"/>
  <c r="F42" i="21"/>
  <c r="P41" i="21"/>
  <c r="P40" i="21"/>
  <c r="P39" i="21"/>
  <c r="P38" i="21"/>
  <c r="M42" i="21"/>
  <c r="P36" i="21"/>
  <c r="P35" i="21"/>
  <c r="P34" i="21"/>
  <c r="P33" i="21"/>
  <c r="P32" i="21"/>
  <c r="P31" i="21"/>
  <c r="P30" i="21"/>
  <c r="P29" i="21"/>
  <c r="P28" i="21"/>
  <c r="P27" i="21"/>
  <c r="P26" i="21"/>
  <c r="P25" i="21"/>
  <c r="P24" i="21"/>
  <c r="P23" i="21"/>
  <c r="P22" i="21"/>
  <c r="P21" i="21"/>
  <c r="O37" i="21"/>
  <c r="N37" i="21"/>
  <c r="M37" i="21"/>
  <c r="K37" i="21"/>
  <c r="J37" i="21"/>
  <c r="I37" i="21"/>
  <c r="H37" i="21"/>
  <c r="G37" i="21"/>
  <c r="F37" i="21"/>
  <c r="D37" i="21"/>
  <c r="P18" i="21"/>
  <c r="P17" i="21"/>
  <c r="N16" i="21"/>
  <c r="P15" i="21"/>
  <c r="F16" i="21"/>
  <c r="P14" i="21"/>
  <c r="M16" i="21"/>
  <c r="O16" i="21"/>
  <c r="P12" i="21"/>
  <c r="J16" i="21"/>
  <c r="I16" i="21"/>
  <c r="H16" i="21"/>
  <c r="G16" i="21"/>
  <c r="P11" i="21"/>
  <c r="K16" i="21"/>
  <c r="D16" i="21"/>
  <c r="M9" i="21"/>
  <c r="I9" i="21"/>
  <c r="H9" i="21"/>
  <c r="E9" i="21"/>
  <c r="E19" i="21" s="1"/>
  <c r="D9" i="21"/>
  <c r="P8" i="21"/>
  <c r="P7" i="21"/>
  <c r="P6" i="21"/>
  <c r="P5" i="21"/>
  <c r="N9" i="21"/>
  <c r="F9" i="21"/>
  <c r="P4" i="21"/>
  <c r="P3" i="21"/>
  <c r="O9" i="21"/>
  <c r="K9" i="21"/>
  <c r="J9" i="21"/>
  <c r="G9" i="21"/>
  <c r="I19" i="21" l="1"/>
  <c r="O44" i="21"/>
  <c r="O19" i="21"/>
  <c r="O45" i="21" s="1"/>
  <c r="O48" i="21" s="1"/>
  <c r="K44" i="21"/>
  <c r="J44" i="21"/>
  <c r="H19" i="21"/>
  <c r="G44" i="21"/>
  <c r="F44" i="21"/>
  <c r="N19" i="21"/>
  <c r="F19" i="21"/>
  <c r="E44" i="21"/>
  <c r="H44" i="21"/>
  <c r="I44" i="21"/>
  <c r="M44" i="21"/>
  <c r="N44" i="21"/>
  <c r="J19" i="21"/>
  <c r="K19" i="21"/>
  <c r="P16" i="21"/>
  <c r="P37" i="21"/>
  <c r="D19" i="21"/>
  <c r="R19" i="21" s="1"/>
  <c r="L48" i="21"/>
  <c r="G19" i="21"/>
  <c r="M19" i="21"/>
  <c r="P9" i="21"/>
  <c r="P13" i="21"/>
  <c r="P20" i="21"/>
  <c r="P42" i="21"/>
  <c r="P10" i="21"/>
  <c r="O41" i="18"/>
  <c r="O46" i="18"/>
  <c r="O43" i="18"/>
  <c r="O36" i="18"/>
  <c r="O30" i="18"/>
  <c r="O23" i="18"/>
  <c r="O22" i="18"/>
  <c r="O21" i="18"/>
  <c r="O20" i="18"/>
  <c r="O17" i="18"/>
  <c r="O12" i="18"/>
  <c r="O3" i="18"/>
  <c r="M45" i="21" l="1"/>
  <c r="M48" i="21" s="1"/>
  <c r="N45" i="21"/>
  <c r="N48" i="21" s="1"/>
  <c r="K45" i="21"/>
  <c r="K48" i="21" s="1"/>
  <c r="J45" i="21"/>
  <c r="J48" i="21" s="1"/>
  <c r="I45" i="21"/>
  <c r="I48" i="21" s="1"/>
  <c r="H45" i="21"/>
  <c r="H48" i="21" s="1"/>
  <c r="G45" i="21"/>
  <c r="G48" i="21" s="1"/>
  <c r="F45" i="21"/>
  <c r="F48" i="21" s="1"/>
  <c r="E45" i="21"/>
  <c r="E48" i="21" s="1"/>
  <c r="P19" i="21"/>
  <c r="D44" i="21"/>
  <c r="O4" i="18"/>
  <c r="P44" i="21" l="1"/>
  <c r="D45" i="21"/>
  <c r="N47" i="18"/>
  <c r="N46" i="18"/>
  <c r="N43" i="18"/>
  <c r="N41" i="18"/>
  <c r="N36" i="18"/>
  <c r="N24" i="18"/>
  <c r="D48" i="21" l="1"/>
  <c r="P45" i="21"/>
  <c r="N23" i="18"/>
  <c r="N22" i="18"/>
  <c r="N21" i="18"/>
  <c r="N20" i="18"/>
  <c r="N14" i="18"/>
  <c r="N10" i="18"/>
  <c r="N17" i="18"/>
  <c r="N4" i="18"/>
  <c r="N5" i="18"/>
  <c r="P48" i="21" l="1"/>
  <c r="M46" i="18"/>
  <c r="M4" i="18" l="1"/>
  <c r="M3" i="18"/>
  <c r="M43" i="18"/>
  <c r="M41" i="18"/>
  <c r="M40" i="18"/>
  <c r="M39" i="18"/>
  <c r="M38" i="18"/>
  <c r="M36" i="18"/>
  <c r="M34" i="18"/>
  <c r="M33" i="18"/>
  <c r="M32" i="18"/>
  <c r="M31" i="18"/>
  <c r="M30" i="18"/>
  <c r="M29" i="18"/>
  <c r="M28" i="18"/>
  <c r="M26" i="18"/>
  <c r="M25" i="18"/>
  <c r="M24" i="18"/>
  <c r="M23" i="18"/>
  <c r="M22" i="18"/>
  <c r="M21" i="18"/>
  <c r="M20" i="18"/>
  <c r="M15" i="18"/>
  <c r="M14" i="18"/>
  <c r="M13" i="18"/>
  <c r="M12" i="18"/>
  <c r="M11" i="18"/>
  <c r="M10" i="18"/>
  <c r="M17" i="18"/>
  <c r="M8" i="18"/>
  <c r="M5" i="18"/>
  <c r="L43" i="18" l="1"/>
  <c r="L47" i="18"/>
  <c r="L46" i="18"/>
  <c r="L41" i="18"/>
  <c r="L36" i="18"/>
  <c r="L23" i="18"/>
  <c r="L22" i="18"/>
  <c r="L21" i="18"/>
  <c r="L20" i="18"/>
  <c r="L17" i="18"/>
  <c r="L14" i="18"/>
  <c r="L8" i="18"/>
  <c r="L4" i="18"/>
  <c r="K4" i="18" l="1"/>
  <c r="K3" i="18"/>
  <c r="K47" i="18"/>
  <c r="K46" i="18"/>
  <c r="K43" i="18"/>
  <c r="K41" i="18"/>
  <c r="K36" i="18"/>
  <c r="K30" i="18"/>
  <c r="K24" i="18"/>
  <c r="K23" i="18"/>
  <c r="K22" i="18"/>
  <c r="K21" i="18"/>
  <c r="K20" i="18"/>
  <c r="K17" i="18"/>
  <c r="K10" i="18"/>
  <c r="K8" i="18"/>
  <c r="J36" i="18" l="1"/>
  <c r="J4" i="18"/>
  <c r="J3" i="18"/>
  <c r="J47" i="18" l="1"/>
  <c r="J46" i="18"/>
  <c r="J43" i="18"/>
  <c r="J41" i="18"/>
  <c r="J30" i="18"/>
  <c r="J24" i="18"/>
  <c r="J23" i="18"/>
  <c r="J22" i="18"/>
  <c r="J21" i="18"/>
  <c r="J20" i="18"/>
  <c r="J18" i="18"/>
  <c r="J17" i="18"/>
  <c r="J14" i="18"/>
  <c r="J11" i="18"/>
  <c r="J10" i="18"/>
  <c r="J8" i="18"/>
  <c r="I47" i="18" l="1"/>
  <c r="I46" i="18"/>
  <c r="I43" i="18"/>
  <c r="I41" i="18"/>
  <c r="I36" i="18"/>
  <c r="I24" i="18"/>
  <c r="I23" i="18"/>
  <c r="I22" i="18"/>
  <c r="I21" i="18"/>
  <c r="I20" i="18"/>
  <c r="I11" i="18"/>
  <c r="I8" i="18"/>
  <c r="I17" i="18"/>
  <c r="I4" i="18"/>
  <c r="H47" i="18" l="1"/>
  <c r="H46" i="18"/>
  <c r="H43" i="18"/>
  <c r="H41" i="18"/>
  <c r="H36" i="18"/>
  <c r="H30" i="18"/>
  <c r="H24" i="18"/>
  <c r="H23" i="18"/>
  <c r="H22" i="18"/>
  <c r="H21" i="18"/>
  <c r="H20" i="18"/>
  <c r="H18" i="18"/>
  <c r="H17" i="18"/>
  <c r="H14" i="18"/>
  <c r="H11" i="18"/>
  <c r="H8" i="18"/>
  <c r="H4" i="18"/>
  <c r="G47" i="18" l="1"/>
  <c r="G46" i="18"/>
  <c r="G43" i="18"/>
  <c r="G41" i="18"/>
  <c r="G36" i="18"/>
  <c r="G30" i="18"/>
  <c r="G23" i="18"/>
  <c r="G22" i="18"/>
  <c r="G21" i="18"/>
  <c r="G20" i="18"/>
  <c r="G18" i="18"/>
  <c r="G15" i="18"/>
  <c r="G14" i="18"/>
  <c r="G11" i="18"/>
  <c r="G17" i="18"/>
  <c r="G4" i="18"/>
  <c r="G3" i="18"/>
  <c r="F47" i="18" l="1"/>
  <c r="F46" i="18"/>
  <c r="F43" i="18"/>
  <c r="F41" i="18"/>
  <c r="F36" i="18"/>
  <c r="F30" i="18"/>
  <c r="F29" i="18"/>
  <c r="F24" i="18"/>
  <c r="F22" i="18"/>
  <c r="F21" i="18"/>
  <c r="F20" i="18"/>
  <c r="F18" i="18"/>
  <c r="F17" i="18"/>
  <c r="F14" i="18"/>
  <c r="F8" i="18"/>
  <c r="F4" i="18"/>
  <c r="E43" i="18" l="1"/>
  <c r="E41" i="18"/>
  <c r="E36" i="18"/>
  <c r="E30" i="18"/>
  <c r="E22" i="18"/>
  <c r="E21" i="18"/>
  <c r="E20" i="18"/>
  <c r="E47" i="18"/>
  <c r="E46" i="18"/>
  <c r="E18" i="18"/>
  <c r="E17" i="18"/>
  <c r="E14" i="18"/>
  <c r="E11" i="18"/>
  <c r="E10" i="18"/>
  <c r="E8" i="18"/>
  <c r="E4" i="18" l="1"/>
  <c r="D47" i="18" l="1"/>
  <c r="D46" i="18"/>
  <c r="D43" i="18"/>
  <c r="D41" i="18"/>
  <c r="D36" i="18"/>
  <c r="D24" i="18"/>
  <c r="D23" i="18"/>
  <c r="D22" i="18"/>
  <c r="D21" i="18"/>
  <c r="D20" i="18"/>
  <c r="D18" i="18"/>
  <c r="D17" i="18"/>
  <c r="D14" i="18"/>
  <c r="D11" i="18"/>
  <c r="D10" i="18"/>
  <c r="D4" i="18" l="1"/>
  <c r="P47" i="18" l="1"/>
  <c r="P46" i="18"/>
  <c r="P43" i="18"/>
  <c r="O42" i="18"/>
  <c r="K42" i="18"/>
  <c r="J42" i="18"/>
  <c r="E42" i="18"/>
  <c r="D42" i="18"/>
  <c r="N42" i="18"/>
  <c r="M42" i="18"/>
  <c r="L42" i="18"/>
  <c r="I42" i="18"/>
  <c r="P41" i="18"/>
  <c r="F42" i="18"/>
  <c r="P40" i="18"/>
  <c r="P39" i="18"/>
  <c r="P38" i="18"/>
  <c r="J37" i="18"/>
  <c r="E37" i="18"/>
  <c r="D37" i="18"/>
  <c r="P36" i="18"/>
  <c r="P35" i="18"/>
  <c r="P34" i="18"/>
  <c r="P33" i="18"/>
  <c r="P32" i="18"/>
  <c r="P31" i="18"/>
  <c r="P30" i="18"/>
  <c r="P29" i="18"/>
  <c r="P28" i="18"/>
  <c r="P27" i="18"/>
  <c r="P26" i="18"/>
  <c r="P25" i="18"/>
  <c r="P24" i="18"/>
  <c r="P23" i="18"/>
  <c r="P22" i="18"/>
  <c r="M37" i="18"/>
  <c r="L37" i="18"/>
  <c r="P21" i="18"/>
  <c r="O37" i="18"/>
  <c r="N37" i="18"/>
  <c r="K37" i="18"/>
  <c r="I37" i="18"/>
  <c r="G37" i="18"/>
  <c r="F37" i="18"/>
  <c r="P18" i="18"/>
  <c r="P17" i="18"/>
  <c r="N16" i="18"/>
  <c r="M16" i="18"/>
  <c r="L16" i="18"/>
  <c r="J16" i="18"/>
  <c r="I16" i="18"/>
  <c r="E16" i="18"/>
  <c r="D16" i="18"/>
  <c r="P15" i="18"/>
  <c r="P14" i="18"/>
  <c r="P13" i="18"/>
  <c r="O16" i="18"/>
  <c r="H16" i="18"/>
  <c r="P12" i="18"/>
  <c r="K16" i="18"/>
  <c r="P11" i="18"/>
  <c r="P10" i="18"/>
  <c r="G16" i="18"/>
  <c r="O9" i="18"/>
  <c r="L9" i="18"/>
  <c r="E9" i="18"/>
  <c r="D9" i="18"/>
  <c r="K9" i="18"/>
  <c r="P8" i="18"/>
  <c r="P7" i="18"/>
  <c r="P6" i="18"/>
  <c r="P5" i="18"/>
  <c r="N9" i="18"/>
  <c r="M9" i="18"/>
  <c r="J9" i="18"/>
  <c r="J19" i="18" s="1"/>
  <c r="P4" i="18"/>
  <c r="P3" i="18"/>
  <c r="I9" i="18"/>
  <c r="H9" i="18"/>
  <c r="F9" i="18"/>
  <c r="K44" i="18" l="1"/>
  <c r="N44" i="18"/>
  <c r="N19" i="18"/>
  <c r="M44" i="18"/>
  <c r="J44" i="18"/>
  <c r="J45" i="18" s="1"/>
  <c r="J48" i="18" s="1"/>
  <c r="F44" i="18"/>
  <c r="E44" i="18"/>
  <c r="E19" i="18"/>
  <c r="D44" i="18"/>
  <c r="O44" i="18"/>
  <c r="I44" i="18"/>
  <c r="O19" i="18"/>
  <c r="I19" i="18"/>
  <c r="M19" i="18"/>
  <c r="L19" i="18"/>
  <c r="H19" i="18"/>
  <c r="K19" i="18"/>
  <c r="L44" i="18"/>
  <c r="G9" i="18"/>
  <c r="G19" i="18" s="1"/>
  <c r="D19" i="18"/>
  <c r="H37" i="18"/>
  <c r="H42" i="18"/>
  <c r="F16" i="18"/>
  <c r="F19" i="18" s="1"/>
  <c r="P20" i="18"/>
  <c r="G42" i="18"/>
  <c r="I4" i="17"/>
  <c r="K45" i="18" l="1"/>
  <c r="K48" i="18" s="1"/>
  <c r="N45" i="18"/>
  <c r="N48" i="18" s="1"/>
  <c r="M45" i="18"/>
  <c r="M48" i="18" s="1"/>
  <c r="I45" i="18"/>
  <c r="I48" i="18" s="1"/>
  <c r="P42" i="18"/>
  <c r="H44" i="18"/>
  <c r="F45" i="18"/>
  <c r="F48" i="18" s="1"/>
  <c r="E45" i="18"/>
  <c r="E48" i="18" s="1"/>
  <c r="O45" i="18"/>
  <c r="O48" i="18" s="1"/>
  <c r="P37" i="18"/>
  <c r="L45" i="18"/>
  <c r="L48" i="18" s="1"/>
  <c r="P16" i="18"/>
  <c r="P9" i="18"/>
  <c r="H45" i="18"/>
  <c r="H48" i="18" s="1"/>
  <c r="G44" i="18"/>
  <c r="D45" i="18"/>
  <c r="P19" i="18"/>
  <c r="O47" i="17"/>
  <c r="O46" i="17"/>
  <c r="O43" i="17"/>
  <c r="O41" i="17"/>
  <c r="O36" i="17"/>
  <c r="O24" i="17"/>
  <c r="O23" i="17"/>
  <c r="O22" i="17"/>
  <c r="O21" i="17"/>
  <c r="O20" i="17"/>
  <c r="O18" i="17"/>
  <c r="O14" i="17"/>
  <c r="O12" i="17"/>
  <c r="O8" i="17"/>
  <c r="P44" i="18" l="1"/>
  <c r="D48" i="18"/>
  <c r="G45" i="18"/>
  <c r="G48" i="18" s="1"/>
  <c r="O4" i="17"/>
  <c r="P45" i="18" l="1"/>
  <c r="P48" i="18"/>
  <c r="N4" i="17"/>
  <c r="N47" i="17" l="1"/>
  <c r="N46" i="17"/>
  <c r="N43" i="17"/>
  <c r="N41" i="17"/>
  <c r="N36" i="17"/>
  <c r="N30" i="17"/>
  <c r="N24" i="17"/>
  <c r="N23" i="17"/>
  <c r="N22" i="17"/>
  <c r="N21" i="17"/>
  <c r="N20" i="17"/>
  <c r="N18" i="17"/>
  <c r="N14" i="17"/>
  <c r="N8" i="17"/>
  <c r="M4" i="17" l="1"/>
  <c r="N5" i="17" l="1"/>
  <c r="M47" i="17" l="1"/>
  <c r="M46" i="17"/>
  <c r="L46" i="17"/>
  <c r="M43" i="17"/>
  <c r="M41" i="17"/>
  <c r="M36" i="17"/>
  <c r="M30" i="17"/>
  <c r="M26" i="17"/>
  <c r="M23" i="17"/>
  <c r="M22" i="17"/>
  <c r="M21" i="17"/>
  <c r="M20" i="17"/>
  <c r="M18" i="17"/>
  <c r="M14" i="17"/>
  <c r="M10" i="17"/>
  <c r="M8" i="17"/>
  <c r="L47" i="17" l="1"/>
  <c r="L43" i="17"/>
  <c r="L41" i="17"/>
  <c r="L36" i="17"/>
  <c r="L32" i="17"/>
  <c r="L31" i="17"/>
  <c r="L30" i="17"/>
  <c r="L29" i="17"/>
  <c r="L28" i="17"/>
  <c r="L25" i="17"/>
  <c r="L23" i="17"/>
  <c r="L22" i="17"/>
  <c r="L21" i="17"/>
  <c r="L20" i="17"/>
  <c r="L18" i="17"/>
  <c r="L17" i="17"/>
  <c r="L14" i="17"/>
  <c r="L13" i="17"/>
  <c r="L12" i="17"/>
  <c r="L11" i="17"/>
  <c r="L5" i="17"/>
  <c r="L4" i="17"/>
  <c r="L3" i="17"/>
  <c r="K47" i="17" l="1"/>
  <c r="K46" i="17"/>
  <c r="K43" i="17"/>
  <c r="K41" i="17"/>
  <c r="K38" i="17"/>
  <c r="K36" i="17"/>
  <c r="K34" i="17"/>
  <c r="K33" i="17"/>
  <c r="K24" i="17"/>
  <c r="K23" i="17"/>
  <c r="K22" i="17"/>
  <c r="K21" i="17"/>
  <c r="K20" i="17"/>
  <c r="K18" i="17"/>
  <c r="K17" i="17"/>
  <c r="K14" i="17"/>
  <c r="K13" i="17"/>
  <c r="K11" i="17"/>
  <c r="K8" i="17"/>
  <c r="K4" i="17"/>
  <c r="K3" i="17"/>
  <c r="J8" i="17" l="1"/>
  <c r="J5" i="17"/>
  <c r="J4" i="17"/>
  <c r="I47" i="17" l="1"/>
  <c r="I46" i="17"/>
  <c r="I43" i="17"/>
  <c r="I41" i="17"/>
  <c r="I36" i="17"/>
  <c r="I24" i="17"/>
  <c r="I23" i="17"/>
  <c r="I22" i="17"/>
  <c r="I21" i="17"/>
  <c r="I20" i="17"/>
  <c r="I18" i="17"/>
  <c r="I17" i="17"/>
  <c r="I15" i="17"/>
  <c r="I14" i="17"/>
  <c r="I8" i="17"/>
  <c r="I3" i="17"/>
  <c r="H47" i="17" l="1"/>
  <c r="H46" i="17"/>
  <c r="H43" i="17"/>
  <c r="H41" i="17"/>
  <c r="H38" i="17"/>
  <c r="H36" i="17"/>
  <c r="H34" i="17"/>
  <c r="H33" i="17"/>
  <c r="H24" i="17"/>
  <c r="H23" i="17"/>
  <c r="H22" i="17"/>
  <c r="H21" i="17"/>
  <c r="H20" i="17"/>
  <c r="H18" i="17"/>
  <c r="H14" i="17"/>
  <c r="H13" i="17"/>
  <c r="H12" i="17"/>
  <c r="H11" i="17"/>
  <c r="H8" i="17"/>
  <c r="H5" i="17"/>
  <c r="H4" i="17"/>
  <c r="H3" i="17"/>
  <c r="G47" i="17" l="1"/>
  <c r="G46" i="17"/>
  <c r="G43" i="17"/>
  <c r="G41" i="17"/>
  <c r="G39" i="17"/>
  <c r="G36" i="17"/>
  <c r="G23" i="17"/>
  <c r="G22" i="17"/>
  <c r="G21" i="17"/>
  <c r="G20" i="17"/>
  <c r="G18" i="17"/>
  <c r="G17" i="17"/>
  <c r="G14" i="17"/>
  <c r="G13" i="17"/>
  <c r="G12" i="17"/>
  <c r="G11" i="17"/>
  <c r="G10" i="17"/>
  <c r="G8" i="17"/>
  <c r="G4" i="17"/>
  <c r="G5" i="17"/>
  <c r="G3" i="17"/>
  <c r="F47" i="17" l="1"/>
  <c r="F46" i="17"/>
  <c r="F43" i="17"/>
  <c r="F41" i="17"/>
  <c r="F36" i="17"/>
  <c r="F24" i="17"/>
  <c r="F21" i="17"/>
  <c r="F20" i="17"/>
  <c r="F18" i="17"/>
  <c r="F11" i="17"/>
  <c r="F3" i="17"/>
  <c r="F4" i="17"/>
  <c r="P47" i="17" l="1"/>
  <c r="P46" i="17"/>
  <c r="P43" i="17"/>
  <c r="O42" i="17"/>
  <c r="N42" i="17"/>
  <c r="M42" i="17"/>
  <c r="L42" i="17"/>
  <c r="K42" i="17"/>
  <c r="J42" i="17"/>
  <c r="I42" i="17"/>
  <c r="H42" i="17"/>
  <c r="G42" i="17"/>
  <c r="F42" i="17"/>
  <c r="E42" i="17"/>
  <c r="D42" i="17"/>
  <c r="P41" i="17"/>
  <c r="P40" i="17"/>
  <c r="P39" i="17"/>
  <c r="P38" i="17"/>
  <c r="O37" i="17"/>
  <c r="O44" i="17" s="1"/>
  <c r="N37" i="17"/>
  <c r="M37" i="17"/>
  <c r="L37" i="17"/>
  <c r="K37" i="17"/>
  <c r="J37" i="17"/>
  <c r="I37" i="17"/>
  <c r="H37" i="17"/>
  <c r="G37" i="17"/>
  <c r="F37" i="17"/>
  <c r="E37" i="17"/>
  <c r="D37" i="17"/>
  <c r="P36" i="17"/>
  <c r="P35" i="17"/>
  <c r="P34" i="17"/>
  <c r="P33" i="17"/>
  <c r="P32" i="17"/>
  <c r="P31" i="17"/>
  <c r="P30" i="17"/>
  <c r="P29" i="17"/>
  <c r="P28" i="17"/>
  <c r="P27" i="17"/>
  <c r="P26" i="17"/>
  <c r="P25" i="17"/>
  <c r="P24" i="17"/>
  <c r="P23" i="17"/>
  <c r="P22" i="17"/>
  <c r="P21" i="17"/>
  <c r="P20" i="17"/>
  <c r="P18" i="17"/>
  <c r="P17" i="17"/>
  <c r="O16" i="17"/>
  <c r="N16" i="17"/>
  <c r="M16" i="17"/>
  <c r="L16" i="17"/>
  <c r="K16" i="17"/>
  <c r="J16" i="17"/>
  <c r="I16" i="17"/>
  <c r="H16" i="17"/>
  <c r="G16" i="17"/>
  <c r="F16" i="17"/>
  <c r="E16" i="17"/>
  <c r="D16" i="17"/>
  <c r="P15" i="17"/>
  <c r="P14" i="17"/>
  <c r="P13" i="17"/>
  <c r="P12" i="17"/>
  <c r="P11" i="17"/>
  <c r="P10" i="17"/>
  <c r="O9" i="17"/>
  <c r="N9" i="17"/>
  <c r="M9" i="17"/>
  <c r="L9" i="17"/>
  <c r="K9" i="17"/>
  <c r="J9" i="17"/>
  <c r="I9" i="17"/>
  <c r="H9" i="17"/>
  <c r="G9" i="17"/>
  <c r="F9" i="17"/>
  <c r="E9" i="17"/>
  <c r="D9" i="17"/>
  <c r="P8" i="17"/>
  <c r="P7" i="17"/>
  <c r="P6" i="17"/>
  <c r="P5" i="17"/>
  <c r="P4" i="17"/>
  <c r="P3" i="17"/>
  <c r="M19" i="17" l="1"/>
  <c r="J44" i="17"/>
  <c r="K44" i="17"/>
  <c r="N44" i="17"/>
  <c r="N19" i="17"/>
  <c r="N45" i="17" s="1"/>
  <c r="N48" i="17" s="1"/>
  <c r="M44" i="17"/>
  <c r="L44" i="17"/>
  <c r="J19" i="17"/>
  <c r="J45" i="17" s="1"/>
  <c r="J48" i="17" s="1"/>
  <c r="I44" i="17"/>
  <c r="I19" i="17"/>
  <c r="H44" i="17"/>
  <c r="G44" i="17"/>
  <c r="F44" i="17"/>
  <c r="F19" i="17"/>
  <c r="E44" i="17"/>
  <c r="E45" i="17" s="1"/>
  <c r="E48" i="17" s="1"/>
  <c r="P42" i="17"/>
  <c r="E19" i="17"/>
  <c r="D44" i="17"/>
  <c r="M45" i="17"/>
  <c r="M48" i="17" s="1"/>
  <c r="P16" i="17"/>
  <c r="G19" i="17"/>
  <c r="K19" i="17"/>
  <c r="K45" i="17" s="1"/>
  <c r="K48" i="17" s="1"/>
  <c r="O19" i="17"/>
  <c r="O45" i="17" s="1"/>
  <c r="O48" i="17" s="1"/>
  <c r="D19" i="17"/>
  <c r="H19" i="17"/>
  <c r="L19" i="17"/>
  <c r="P9" i="17"/>
  <c r="P37" i="17"/>
  <c r="N42" i="15"/>
  <c r="N37" i="15"/>
  <c r="N44" i="15" s="1"/>
  <c r="N16" i="15"/>
  <c r="N9" i="15"/>
  <c r="N19" i="15" s="1"/>
  <c r="N45" i="15" s="1"/>
  <c r="N48" i="15" s="1"/>
  <c r="L45" i="17" l="1"/>
  <c r="L48" i="17" s="1"/>
  <c r="D45" i="17"/>
  <c r="H45" i="17"/>
  <c r="H48" i="17" s="1"/>
  <c r="I45" i="17"/>
  <c r="I48" i="17" s="1"/>
  <c r="G45" i="17"/>
  <c r="G48" i="17" s="1"/>
  <c r="F45" i="17"/>
  <c r="F48" i="17" s="1"/>
  <c r="P44" i="17"/>
  <c r="P19" i="17"/>
  <c r="D48" i="17"/>
  <c r="I42" i="15"/>
  <c r="I37" i="15"/>
  <c r="I16" i="15"/>
  <c r="I9" i="15"/>
  <c r="P48" i="17" l="1"/>
  <c r="P45" i="17"/>
  <c r="I44" i="15"/>
  <c r="I19" i="15"/>
  <c r="F42" i="15"/>
  <c r="F37" i="15"/>
  <c r="F16" i="15"/>
  <c r="F9" i="15"/>
  <c r="I45" i="15" l="1"/>
  <c r="I48" i="15" s="1"/>
  <c r="F44" i="15"/>
  <c r="F19" i="15"/>
  <c r="P47" i="15"/>
  <c r="P46" i="15"/>
  <c r="P43" i="15"/>
  <c r="O42" i="15"/>
  <c r="M42" i="15"/>
  <c r="L42" i="15"/>
  <c r="H42" i="15"/>
  <c r="E42" i="15"/>
  <c r="K42" i="15"/>
  <c r="J42" i="15"/>
  <c r="G42" i="15"/>
  <c r="P41" i="15"/>
  <c r="P40" i="15"/>
  <c r="P39" i="15"/>
  <c r="P38" i="15"/>
  <c r="O37" i="15"/>
  <c r="M37" i="15"/>
  <c r="L37" i="15"/>
  <c r="P36" i="15"/>
  <c r="P35" i="15"/>
  <c r="P34" i="15"/>
  <c r="P33" i="15"/>
  <c r="P32" i="15"/>
  <c r="P31" i="15"/>
  <c r="P30" i="15"/>
  <c r="P29" i="15"/>
  <c r="P28" i="15"/>
  <c r="P27" i="15"/>
  <c r="P26" i="15"/>
  <c r="P25" i="15"/>
  <c r="K37" i="15"/>
  <c r="P24" i="15"/>
  <c r="P23" i="15"/>
  <c r="P22" i="15"/>
  <c r="P21" i="15"/>
  <c r="E37" i="15"/>
  <c r="J37" i="15"/>
  <c r="H37" i="15"/>
  <c r="G37" i="15"/>
  <c r="D37" i="15"/>
  <c r="P18" i="15"/>
  <c r="P17" i="15"/>
  <c r="O16" i="15"/>
  <c r="M16" i="15"/>
  <c r="L16" i="15"/>
  <c r="J16" i="15"/>
  <c r="G16" i="15"/>
  <c r="E16" i="15"/>
  <c r="P15" i="15"/>
  <c r="P14" i="15"/>
  <c r="K16" i="15"/>
  <c r="P13" i="15"/>
  <c r="P12" i="15"/>
  <c r="P11" i="15"/>
  <c r="H16" i="15"/>
  <c r="P10" i="15"/>
  <c r="D16" i="15"/>
  <c r="O9" i="15"/>
  <c r="M9" i="15"/>
  <c r="L9" i="15"/>
  <c r="H9" i="15"/>
  <c r="D9" i="15"/>
  <c r="P8" i="15"/>
  <c r="P7" i="15"/>
  <c r="P6" i="15"/>
  <c r="P5" i="15"/>
  <c r="K9" i="15"/>
  <c r="J9" i="15"/>
  <c r="G9" i="15"/>
  <c r="P4" i="15"/>
  <c r="P3" i="15"/>
  <c r="O19" i="15" l="1"/>
  <c r="L44" i="15"/>
  <c r="L19" i="15"/>
  <c r="K44" i="15"/>
  <c r="J19" i="15"/>
  <c r="H19" i="15"/>
  <c r="G44" i="15"/>
  <c r="G19" i="15"/>
  <c r="F45" i="15"/>
  <c r="F48" i="15" s="1"/>
  <c r="E44" i="15"/>
  <c r="M44" i="15"/>
  <c r="O44" i="15"/>
  <c r="J44" i="15"/>
  <c r="H44" i="15"/>
  <c r="M19" i="15"/>
  <c r="K19" i="15"/>
  <c r="K45" i="15" s="1"/>
  <c r="K48" i="15" s="1"/>
  <c r="D19" i="15"/>
  <c r="P37" i="15"/>
  <c r="P16" i="15"/>
  <c r="P20" i="15"/>
  <c r="D42" i="15"/>
  <c r="P42" i="15" s="1"/>
  <c r="E9" i="15"/>
  <c r="E19" i="15" s="1"/>
  <c r="K47" i="14"/>
  <c r="O45" i="15" l="1"/>
  <c r="O48" i="15" s="1"/>
  <c r="M45" i="15"/>
  <c r="M48" i="15" s="1"/>
  <c r="L45" i="15"/>
  <c r="L48" i="15" s="1"/>
  <c r="J45" i="15"/>
  <c r="J48" i="15" s="1"/>
  <c r="H45" i="15"/>
  <c r="H48" i="15" s="1"/>
  <c r="G45" i="15"/>
  <c r="G48" i="15" s="1"/>
  <c r="E45" i="15"/>
  <c r="E48" i="15" s="1"/>
  <c r="D44" i="15"/>
  <c r="P9" i="15"/>
  <c r="P19" i="15"/>
  <c r="K46" i="14"/>
  <c r="K18" i="14"/>
  <c r="K17" i="14"/>
  <c r="P44" i="15" l="1"/>
  <c r="D45" i="15"/>
  <c r="K43" i="14"/>
  <c r="K41" i="14"/>
  <c r="K36" i="14"/>
  <c r="K24" i="14"/>
  <c r="K13" i="14"/>
  <c r="K11" i="14"/>
  <c r="K8" i="14"/>
  <c r="K4" i="14"/>
  <c r="J4" i="14"/>
  <c r="J47" i="14"/>
  <c r="J46" i="14"/>
  <c r="J41" i="14"/>
  <c r="J36" i="14"/>
  <c r="J34" i="14"/>
  <c r="J24" i="14"/>
  <c r="J21" i="14"/>
  <c r="J20" i="14"/>
  <c r="J13" i="14"/>
  <c r="J14" i="14"/>
  <c r="J11" i="14"/>
  <c r="J8" i="14"/>
  <c r="J17" i="14"/>
  <c r="J5" i="14"/>
  <c r="P15" i="14"/>
  <c r="N16" i="14"/>
  <c r="O16" i="14"/>
  <c r="M16" i="14"/>
  <c r="L16" i="14"/>
  <c r="E16" i="14"/>
  <c r="D48" i="15" l="1"/>
  <c r="P48" i="15" s="1"/>
  <c r="P45" i="15"/>
  <c r="K16" i="14"/>
  <c r="J16" i="14"/>
  <c r="I47" i="14"/>
  <c r="I46" i="14"/>
  <c r="I41" i="14"/>
  <c r="I36" i="14"/>
  <c r="I12" i="14"/>
  <c r="I16" i="14" s="1"/>
  <c r="I8" i="14"/>
  <c r="I17" i="14"/>
  <c r="I4" i="14"/>
  <c r="I3" i="14"/>
  <c r="H3" i="14"/>
  <c r="H47" i="14"/>
  <c r="H46" i="14"/>
  <c r="H41" i="14"/>
  <c r="H36" i="14"/>
  <c r="H24" i="14"/>
  <c r="H20" i="14"/>
  <c r="H11" i="14"/>
  <c r="H16" i="14" s="1"/>
  <c r="H8" i="14"/>
  <c r="H17" i="14"/>
  <c r="D47" i="14"/>
  <c r="D46" i="14"/>
  <c r="D41" i="14"/>
  <c r="D42" i="14" s="1"/>
  <c r="D36" i="14"/>
  <c r="D23" i="14"/>
  <c r="D20" i="14"/>
  <c r="D17" i="14"/>
  <c r="D14" i="14"/>
  <c r="D13" i="14"/>
  <c r="D12" i="14"/>
  <c r="D10" i="14"/>
  <c r="D4" i="14"/>
  <c r="D9" i="14" s="1"/>
  <c r="D37" i="14" l="1"/>
  <c r="D44" i="14" s="1"/>
  <c r="D16" i="14"/>
  <c r="D19" i="14" s="1"/>
  <c r="D45" i="14" s="1"/>
  <c r="D48" i="14" s="1"/>
  <c r="G5" i="14"/>
  <c r="G47" i="14"/>
  <c r="G46" i="14"/>
  <c r="G41" i="14"/>
  <c r="G36" i="14"/>
  <c r="G20" i="14"/>
  <c r="G17" i="14"/>
  <c r="G13" i="14"/>
  <c r="G10" i="14"/>
  <c r="G8" i="14"/>
  <c r="G4" i="14"/>
  <c r="F4" i="14"/>
  <c r="F47" i="14"/>
  <c r="F46" i="14"/>
  <c r="F36" i="14"/>
  <c r="F21" i="14"/>
  <c r="F20" i="14"/>
  <c r="F13" i="14"/>
  <c r="F10" i="14"/>
  <c r="F8" i="14"/>
  <c r="F17" i="14"/>
  <c r="F5" i="14"/>
  <c r="F16" i="14" l="1"/>
  <c r="G16" i="14"/>
  <c r="E47" i="14"/>
  <c r="E46" i="14"/>
  <c r="E36" i="14"/>
  <c r="E21" i="14"/>
  <c r="E17" i="14"/>
  <c r="E8" i="14"/>
  <c r="E3" i="14"/>
  <c r="E4" i="14"/>
  <c r="P47" i="14" l="1"/>
  <c r="P46" i="14"/>
  <c r="P36" i="14"/>
  <c r="P13" i="14"/>
  <c r="P43" i="14"/>
  <c r="L42" i="14"/>
  <c r="K42" i="14"/>
  <c r="J42" i="14"/>
  <c r="I42" i="14"/>
  <c r="H42" i="14"/>
  <c r="E42" i="14"/>
  <c r="O42" i="14"/>
  <c r="N42" i="14"/>
  <c r="M42" i="14"/>
  <c r="G42" i="14"/>
  <c r="F42" i="14"/>
  <c r="P40" i="14"/>
  <c r="P39" i="14"/>
  <c r="P38" i="14"/>
  <c r="O37" i="14"/>
  <c r="G37" i="14"/>
  <c r="N37" i="14"/>
  <c r="P35" i="14"/>
  <c r="P34" i="14"/>
  <c r="P33" i="14"/>
  <c r="P32" i="14"/>
  <c r="P31" i="14"/>
  <c r="P30" i="14"/>
  <c r="P29" i="14"/>
  <c r="P28" i="14"/>
  <c r="P27" i="14"/>
  <c r="P26" i="14"/>
  <c r="P25" i="14"/>
  <c r="K37" i="14"/>
  <c r="P24" i="14"/>
  <c r="P23" i="14"/>
  <c r="P22" i="14"/>
  <c r="P21" i="14"/>
  <c r="M37" i="14"/>
  <c r="L37" i="14"/>
  <c r="I37" i="14"/>
  <c r="H37" i="14"/>
  <c r="E37" i="14"/>
  <c r="P18" i="14"/>
  <c r="P17" i="14"/>
  <c r="P12" i="14"/>
  <c r="P11" i="14"/>
  <c r="P8" i="14"/>
  <c r="P7" i="14"/>
  <c r="P6" i="14"/>
  <c r="P5" i="14"/>
  <c r="K9" i="14"/>
  <c r="J9" i="14"/>
  <c r="I9" i="14"/>
  <c r="H9" i="14"/>
  <c r="G9" i="14"/>
  <c r="F9" i="14"/>
  <c r="E9" i="14"/>
  <c r="O9" i="14"/>
  <c r="N9" i="14"/>
  <c r="N19" i="14" s="1"/>
  <c r="M9" i="14"/>
  <c r="L9" i="14"/>
  <c r="L19" i="14" s="1"/>
  <c r="P3" i="14"/>
  <c r="O3" i="13"/>
  <c r="O46" i="13"/>
  <c r="O45" i="13"/>
  <c r="O40" i="13"/>
  <c r="O19" i="13"/>
  <c r="O14" i="13"/>
  <c r="O8" i="13"/>
  <c r="O16" i="13"/>
  <c r="O4" i="13"/>
  <c r="N46" i="13"/>
  <c r="N45" i="13"/>
  <c r="N40" i="13"/>
  <c r="N35" i="13"/>
  <c r="N19" i="13"/>
  <c r="N8" i="13"/>
  <c r="N5" i="13"/>
  <c r="N4" i="13"/>
  <c r="N3" i="13"/>
  <c r="M4" i="13"/>
  <c r="M3" i="13"/>
  <c r="M46" i="13"/>
  <c r="M45" i="13"/>
  <c r="M40" i="13"/>
  <c r="M35" i="13"/>
  <c r="M33" i="13"/>
  <c r="M19" i="13"/>
  <c r="M16" i="13"/>
  <c r="M14" i="13"/>
  <c r="M8" i="13"/>
  <c r="L4" i="13"/>
  <c r="L3" i="13"/>
  <c r="L46" i="13"/>
  <c r="L45" i="13"/>
  <c r="L35" i="13"/>
  <c r="L33" i="13"/>
  <c r="L19" i="13"/>
  <c r="L16" i="13"/>
  <c r="L5" i="13"/>
  <c r="K46" i="13"/>
  <c r="K45" i="13"/>
  <c r="K35" i="13"/>
  <c r="K23" i="13"/>
  <c r="K19" i="13"/>
  <c r="K16" i="13"/>
  <c r="K14" i="13"/>
  <c r="K8" i="13"/>
  <c r="K5" i="13"/>
  <c r="K4" i="13"/>
  <c r="J4" i="13"/>
  <c r="J3" i="13"/>
  <c r="J46" i="13"/>
  <c r="J45" i="13"/>
  <c r="J33" i="13"/>
  <c r="J32" i="13"/>
  <c r="J29" i="13"/>
  <c r="J19" i="13"/>
  <c r="J17" i="13"/>
  <c r="J14" i="13"/>
  <c r="J16" i="13"/>
  <c r="J5" i="13"/>
  <c r="I4" i="13"/>
  <c r="I46" i="13"/>
  <c r="I45" i="13"/>
  <c r="I35" i="13"/>
  <c r="I33" i="13"/>
  <c r="I19" i="13"/>
  <c r="I16" i="13"/>
  <c r="I10" i="13"/>
  <c r="I8" i="13"/>
  <c r="H46" i="13"/>
  <c r="H45" i="13"/>
  <c r="H35" i="13"/>
  <c r="H33" i="13"/>
  <c r="H19" i="13"/>
  <c r="H16" i="13"/>
  <c r="H14" i="13"/>
  <c r="H5" i="13"/>
  <c r="N44" i="14" l="1"/>
  <c r="I44" i="14"/>
  <c r="O44" i="14"/>
  <c r="N45" i="14"/>
  <c r="N48" i="14" s="1"/>
  <c r="L44" i="14"/>
  <c r="L45" i="14" s="1"/>
  <c r="L48" i="14" s="1"/>
  <c r="K44" i="14"/>
  <c r="J19" i="14"/>
  <c r="I19" i="14"/>
  <c r="I45" i="14" s="1"/>
  <c r="I48" i="14" s="1"/>
  <c r="H44" i="14"/>
  <c r="G19" i="14"/>
  <c r="E19" i="14"/>
  <c r="E44" i="14"/>
  <c r="M44" i="14"/>
  <c r="K19" i="14"/>
  <c r="P9" i="14"/>
  <c r="P42" i="14"/>
  <c r="M19" i="14"/>
  <c r="O19" i="14"/>
  <c r="G44" i="14"/>
  <c r="P14" i="14"/>
  <c r="P20" i="14"/>
  <c r="F37" i="14"/>
  <c r="F44" i="14" s="1"/>
  <c r="J37" i="14"/>
  <c r="J44" i="14" s="1"/>
  <c r="P4" i="14"/>
  <c r="P10" i="14"/>
  <c r="P41" i="14"/>
  <c r="H4" i="13"/>
  <c r="G46" i="13"/>
  <c r="G45" i="13"/>
  <c r="G42" i="13"/>
  <c r="G40" i="13"/>
  <c r="G19" i="13"/>
  <c r="G17" i="13"/>
  <c r="G16" i="13"/>
  <c r="G10" i="13"/>
  <c r="G4" i="13"/>
  <c r="F4" i="13"/>
  <c r="F46" i="13"/>
  <c r="F45" i="13"/>
  <c r="F40" i="13"/>
  <c r="F35" i="13"/>
  <c r="F25" i="13"/>
  <c r="F23" i="13"/>
  <c r="F19" i="13"/>
  <c r="F16" i="13"/>
  <c r="F14" i="13"/>
  <c r="F5" i="13"/>
  <c r="E46" i="13"/>
  <c r="E45" i="13"/>
  <c r="E19" i="13"/>
  <c r="E10" i="13"/>
  <c r="E4" i="13"/>
  <c r="O45" i="14" l="1"/>
  <c r="O48" i="14" s="1"/>
  <c r="K45" i="14"/>
  <c r="K48" i="14" s="1"/>
  <c r="J45" i="14"/>
  <c r="J48" i="14" s="1"/>
  <c r="G45" i="14"/>
  <c r="G48" i="14" s="1"/>
  <c r="E45" i="14"/>
  <c r="E48" i="14" s="1"/>
  <c r="M45" i="14"/>
  <c r="M48" i="14" s="1"/>
  <c r="P44" i="14"/>
  <c r="P37" i="14"/>
  <c r="O41" i="13"/>
  <c r="O9" i="13"/>
  <c r="P46" i="13"/>
  <c r="P45" i="13"/>
  <c r="P42" i="13"/>
  <c r="N41" i="13"/>
  <c r="M41" i="13"/>
  <c r="L41" i="13"/>
  <c r="K41" i="13"/>
  <c r="J41" i="13"/>
  <c r="I41" i="13"/>
  <c r="H41" i="13"/>
  <c r="G41" i="13"/>
  <c r="F41" i="13"/>
  <c r="E41" i="13"/>
  <c r="D41" i="13"/>
  <c r="P40" i="13"/>
  <c r="P39" i="13"/>
  <c r="P38" i="13"/>
  <c r="P37" i="13"/>
  <c r="O36" i="13"/>
  <c r="N36" i="13"/>
  <c r="M36" i="13"/>
  <c r="L36" i="13"/>
  <c r="K36" i="13"/>
  <c r="J36" i="13"/>
  <c r="I36" i="13"/>
  <c r="H36" i="13"/>
  <c r="G36" i="13"/>
  <c r="F36" i="13"/>
  <c r="E36" i="13"/>
  <c r="D36" i="13"/>
  <c r="D43" i="13" s="1"/>
  <c r="P35" i="13"/>
  <c r="P34" i="13"/>
  <c r="P33" i="13"/>
  <c r="P32" i="13"/>
  <c r="P31" i="13"/>
  <c r="P30" i="13"/>
  <c r="P29" i="13"/>
  <c r="P28" i="13"/>
  <c r="P27" i="13"/>
  <c r="P26" i="13"/>
  <c r="P25" i="13"/>
  <c r="P24" i="13"/>
  <c r="P23" i="13"/>
  <c r="P22" i="13"/>
  <c r="P21" i="13"/>
  <c r="P20" i="13"/>
  <c r="P19" i="13"/>
  <c r="P17" i="13"/>
  <c r="P16" i="13"/>
  <c r="O15" i="13"/>
  <c r="N15" i="13"/>
  <c r="M15" i="13"/>
  <c r="L15" i="13"/>
  <c r="K15" i="13"/>
  <c r="J15" i="13"/>
  <c r="I15" i="13"/>
  <c r="H15" i="13"/>
  <c r="G15" i="13"/>
  <c r="F15" i="13"/>
  <c r="E15" i="13"/>
  <c r="D15" i="13"/>
  <c r="P14" i="13"/>
  <c r="P13" i="13"/>
  <c r="P12" i="13"/>
  <c r="P11" i="13"/>
  <c r="P10" i="13"/>
  <c r="H9" i="13"/>
  <c r="F9" i="13"/>
  <c r="D9" i="13"/>
  <c r="D18" i="13" s="1"/>
  <c r="P8" i="13"/>
  <c r="P7" i="13"/>
  <c r="P6" i="13"/>
  <c r="P5" i="13"/>
  <c r="N9" i="13"/>
  <c r="M9" i="13"/>
  <c r="L9" i="13"/>
  <c r="K9" i="13"/>
  <c r="J9" i="13"/>
  <c r="I9" i="13"/>
  <c r="G9" i="13"/>
  <c r="E9" i="13"/>
  <c r="P4" i="13"/>
  <c r="P3" i="13"/>
  <c r="O41" i="11"/>
  <c r="O36" i="11"/>
  <c r="O15" i="11"/>
  <c r="O18" i="11" s="1"/>
  <c r="J43" i="13" l="1"/>
  <c r="L43" i="13"/>
  <c r="O43" i="11"/>
  <c r="O43" i="13"/>
  <c r="N18" i="13"/>
  <c r="N43" i="13"/>
  <c r="K43" i="13"/>
  <c r="J18" i="13"/>
  <c r="J44" i="13" s="1"/>
  <c r="J47" i="13" s="1"/>
  <c r="H43" i="13"/>
  <c r="H18" i="13"/>
  <c r="F43" i="13"/>
  <c r="O18" i="13"/>
  <c r="O44" i="13" s="1"/>
  <c r="O47" i="13" s="1"/>
  <c r="G43" i="13"/>
  <c r="P41" i="13"/>
  <c r="E43" i="13"/>
  <c r="I43" i="13"/>
  <c r="M43" i="13"/>
  <c r="N44" i="13"/>
  <c r="N47" i="13" s="1"/>
  <c r="G18" i="13"/>
  <c r="L18" i="13"/>
  <c r="L44" i="13" s="1"/>
  <c r="L47" i="13" s="1"/>
  <c r="F18" i="13"/>
  <c r="I18" i="13"/>
  <c r="M18" i="13"/>
  <c r="E18" i="13"/>
  <c r="K18" i="13"/>
  <c r="P15" i="13"/>
  <c r="D44" i="13"/>
  <c r="P36" i="13"/>
  <c r="P9" i="13"/>
  <c r="O44" i="11"/>
  <c r="O47" i="11" s="1"/>
  <c r="N41" i="11"/>
  <c r="N36" i="11"/>
  <c r="N15" i="11"/>
  <c r="N4" i="11"/>
  <c r="N9" i="11" s="1"/>
  <c r="N18" i="11" s="1"/>
  <c r="N43" i="11" l="1"/>
  <c r="N44" i="11" s="1"/>
  <c r="N47" i="11" s="1"/>
  <c r="K44" i="13"/>
  <c r="K47" i="13" s="1"/>
  <c r="H44" i="13"/>
  <c r="H47" i="13" s="1"/>
  <c r="F44" i="13"/>
  <c r="F47" i="13" s="1"/>
  <c r="E44" i="13"/>
  <c r="E47" i="13" s="1"/>
  <c r="P43" i="13"/>
  <c r="G44" i="13"/>
  <c r="G47" i="13" s="1"/>
  <c r="M44" i="13"/>
  <c r="M47" i="13" s="1"/>
  <c r="I44" i="13"/>
  <c r="I47" i="13" s="1"/>
  <c r="P18" i="13"/>
  <c r="D47" i="13"/>
  <c r="M4" i="11"/>
  <c r="M9" i="11" s="1"/>
  <c r="M41" i="11"/>
  <c r="M36" i="11"/>
  <c r="M15" i="11"/>
  <c r="M43" i="11" l="1"/>
  <c r="P44" i="13"/>
  <c r="P47" i="13"/>
  <c r="M18" i="11"/>
  <c r="M44" i="11" s="1"/>
  <c r="M47" i="11" s="1"/>
  <c r="L41" i="11"/>
  <c r="L36" i="11"/>
  <c r="P26" i="11"/>
  <c r="L15" i="11"/>
  <c r="L4" i="11"/>
  <c r="L9" i="11" s="1"/>
  <c r="L43" i="11" l="1"/>
  <c r="L18" i="11"/>
  <c r="L44" i="11" s="1"/>
  <c r="L47" i="11" s="1"/>
  <c r="K41" i="11"/>
  <c r="K36" i="11"/>
  <c r="K15" i="11"/>
  <c r="K4" i="11"/>
  <c r="K9" i="11" s="1"/>
  <c r="K18" i="11" l="1"/>
  <c r="K43" i="11"/>
  <c r="K44" i="11"/>
  <c r="K47" i="11" s="1"/>
  <c r="J41" i="11"/>
  <c r="J36" i="11"/>
  <c r="J15" i="11"/>
  <c r="J4" i="11"/>
  <c r="J9" i="11" s="1"/>
  <c r="J43" i="11" l="1"/>
  <c r="J18" i="11"/>
  <c r="J44" i="11" s="1"/>
  <c r="J47" i="11" s="1"/>
  <c r="I41" i="11"/>
  <c r="I36" i="11"/>
  <c r="I15" i="11"/>
  <c r="I4" i="11"/>
  <c r="I9" i="11" s="1"/>
  <c r="I18" i="11" s="1"/>
  <c r="H41" i="11"/>
  <c r="H36" i="11"/>
  <c r="H9" i="11"/>
  <c r="H15" i="11"/>
  <c r="G41" i="11"/>
  <c r="G36" i="11"/>
  <c r="G15" i="11"/>
  <c r="G4" i="11"/>
  <c r="G9" i="11" s="1"/>
  <c r="G18" i="11" s="1"/>
  <c r="G43" i="11" l="1"/>
  <c r="H18" i="11"/>
  <c r="H43" i="11"/>
  <c r="I43" i="11"/>
  <c r="I44" i="11" s="1"/>
  <c r="I47" i="11" s="1"/>
  <c r="G44" i="11"/>
  <c r="G47" i="11" s="1"/>
  <c r="F4" i="11"/>
  <c r="F9" i="11" s="1"/>
  <c r="F15" i="11"/>
  <c r="F41" i="11"/>
  <c r="F36" i="11"/>
  <c r="H44" i="11" l="1"/>
  <c r="H47" i="11" s="1"/>
  <c r="F43" i="11"/>
  <c r="F18" i="11"/>
  <c r="F44" i="11" l="1"/>
  <c r="F47" i="11" s="1"/>
  <c r="E41" i="11"/>
  <c r="E36" i="11"/>
  <c r="E15" i="11"/>
  <c r="E4" i="11"/>
  <c r="E9" i="11" s="1"/>
  <c r="D4" i="11"/>
  <c r="P46" i="12"/>
  <c r="P45" i="12"/>
  <c r="P42" i="12"/>
  <c r="O41" i="12"/>
  <c r="N41" i="12"/>
  <c r="M41" i="12"/>
  <c r="L41" i="12"/>
  <c r="K41" i="12"/>
  <c r="J41" i="12"/>
  <c r="I41" i="12"/>
  <c r="H41" i="12"/>
  <c r="G41" i="12"/>
  <c r="F41" i="12"/>
  <c r="E41" i="12"/>
  <c r="D41" i="12"/>
  <c r="P40" i="12"/>
  <c r="P39" i="12"/>
  <c r="P38" i="12"/>
  <c r="P37" i="12"/>
  <c r="O36" i="12"/>
  <c r="N36" i="12"/>
  <c r="M36" i="12"/>
  <c r="L36" i="12"/>
  <c r="K36" i="12"/>
  <c r="J36" i="12"/>
  <c r="I36" i="12"/>
  <c r="H36" i="12"/>
  <c r="G36" i="12"/>
  <c r="F36" i="12"/>
  <c r="E36" i="12"/>
  <c r="D36" i="12"/>
  <c r="P35" i="12"/>
  <c r="P34" i="12"/>
  <c r="P33" i="12"/>
  <c r="P32" i="12"/>
  <c r="P31" i="12"/>
  <c r="P30" i="12"/>
  <c r="P29" i="12"/>
  <c r="P28" i="12"/>
  <c r="P27" i="12"/>
  <c r="P26" i="12"/>
  <c r="P25" i="12"/>
  <c r="P24" i="12"/>
  <c r="P23" i="12"/>
  <c r="P22" i="12"/>
  <c r="P21" i="12"/>
  <c r="P20" i="12"/>
  <c r="P19" i="12"/>
  <c r="P17" i="12"/>
  <c r="P16" i="12"/>
  <c r="O15" i="12"/>
  <c r="N15" i="12"/>
  <c r="M15" i="12"/>
  <c r="L15" i="12"/>
  <c r="K15" i="12"/>
  <c r="J15" i="12"/>
  <c r="I15" i="12"/>
  <c r="H15" i="12"/>
  <c r="G15" i="12"/>
  <c r="F15" i="12"/>
  <c r="E15" i="12"/>
  <c r="D15" i="12"/>
  <c r="P14" i="12"/>
  <c r="P13" i="12"/>
  <c r="P12" i="12"/>
  <c r="P11" i="12"/>
  <c r="P10" i="12"/>
  <c r="L9" i="12"/>
  <c r="P8" i="12"/>
  <c r="P7" i="12"/>
  <c r="P6" i="12"/>
  <c r="P5" i="12"/>
  <c r="O4" i="12"/>
  <c r="O9" i="12" s="1"/>
  <c r="N4" i="12"/>
  <c r="N9" i="12" s="1"/>
  <c r="M4" i="12"/>
  <c r="M9" i="12" s="1"/>
  <c r="K4" i="12"/>
  <c r="K9" i="12" s="1"/>
  <c r="J4" i="12"/>
  <c r="J9" i="12" s="1"/>
  <c r="I4" i="12"/>
  <c r="I9" i="12" s="1"/>
  <c r="H4" i="12"/>
  <c r="H9" i="12" s="1"/>
  <c r="G4" i="12"/>
  <c r="G9" i="12" s="1"/>
  <c r="F4" i="12"/>
  <c r="F9" i="12" s="1"/>
  <c r="E4" i="12"/>
  <c r="E9" i="12" s="1"/>
  <c r="D4" i="12"/>
  <c r="P3" i="12"/>
  <c r="I43" i="12" l="1"/>
  <c r="L43" i="12"/>
  <c r="G43" i="12"/>
  <c r="J43" i="12"/>
  <c r="M43" i="12"/>
  <c r="F43" i="12"/>
  <c r="H43" i="12"/>
  <c r="O43" i="12"/>
  <c r="E43" i="12"/>
  <c r="K43" i="12"/>
  <c r="N43" i="12"/>
  <c r="L18" i="12"/>
  <c r="F18" i="12"/>
  <c r="F44" i="12" s="1"/>
  <c r="F47" i="12" s="1"/>
  <c r="J18" i="12"/>
  <c r="J44" i="12" s="1"/>
  <c r="J47" i="12" s="1"/>
  <c r="E18" i="11"/>
  <c r="O18" i="12"/>
  <c r="O44" i="12" s="1"/>
  <c r="O47" i="12" s="1"/>
  <c r="G18" i="12"/>
  <c r="G44" i="12" s="1"/>
  <c r="G47" i="12" s="1"/>
  <c r="K18" i="12"/>
  <c r="K44" i="12" s="1"/>
  <c r="K47" i="12" s="1"/>
  <c r="L44" i="12"/>
  <c r="L47" i="12" s="1"/>
  <c r="P4" i="12"/>
  <c r="H18" i="12"/>
  <c r="M18" i="12"/>
  <c r="E18" i="12"/>
  <c r="I18" i="12"/>
  <c r="I44" i="12" s="1"/>
  <c r="I47" i="12" s="1"/>
  <c r="N18" i="12"/>
  <c r="E43" i="11"/>
  <c r="P15" i="12"/>
  <c r="P36" i="12"/>
  <c r="P41" i="12"/>
  <c r="D9" i="12"/>
  <c r="D43" i="12"/>
  <c r="P43" i="12" s="1"/>
  <c r="N44" i="12" l="1"/>
  <c r="N47" i="12" s="1"/>
  <c r="E44" i="11"/>
  <c r="E47" i="11" s="1"/>
  <c r="E44" i="12"/>
  <c r="E47" i="12" s="1"/>
  <c r="M44" i="12"/>
  <c r="M47" i="12" s="1"/>
  <c r="H44" i="12"/>
  <c r="H47" i="12" s="1"/>
  <c r="D18" i="12"/>
  <c r="P9" i="12"/>
  <c r="D44" i="12" l="1"/>
  <c r="P18" i="12"/>
  <c r="P44" i="12" l="1"/>
  <c r="D47" i="12"/>
  <c r="P47" i="12" s="1"/>
  <c r="P46" i="11" l="1"/>
  <c r="P45" i="11"/>
  <c r="P42" i="11"/>
  <c r="D41" i="11"/>
  <c r="P40" i="11"/>
  <c r="P39" i="11"/>
  <c r="P38" i="11"/>
  <c r="P37" i="11"/>
  <c r="D36" i="11"/>
  <c r="P35" i="11"/>
  <c r="P34" i="11"/>
  <c r="P33" i="11"/>
  <c r="P32" i="11"/>
  <c r="P31" i="11"/>
  <c r="P30" i="11"/>
  <c r="P29" i="11"/>
  <c r="P28" i="11"/>
  <c r="P27" i="11"/>
  <c r="P25" i="11"/>
  <c r="P24" i="11"/>
  <c r="P23" i="11"/>
  <c r="P22" i="11"/>
  <c r="P21" i="11"/>
  <c r="P20" i="11"/>
  <c r="P19" i="11"/>
  <c r="P17" i="11"/>
  <c r="P16" i="11"/>
  <c r="D15" i="11"/>
  <c r="P14" i="11"/>
  <c r="P13" i="11"/>
  <c r="P12" i="11"/>
  <c r="P11" i="11"/>
  <c r="P10" i="11"/>
  <c r="P8" i="11"/>
  <c r="P7" i="11"/>
  <c r="P6" i="11"/>
  <c r="P5" i="11"/>
  <c r="P4" i="11"/>
  <c r="P3" i="11"/>
  <c r="O4" i="9"/>
  <c r="P41" i="11" l="1"/>
  <c r="P15" i="11"/>
  <c r="P36" i="11"/>
  <c r="D9" i="11"/>
  <c r="D43" i="11"/>
  <c r="N4" i="9"/>
  <c r="N9" i="9" s="1"/>
  <c r="M4" i="9"/>
  <c r="M9" i="9" s="1"/>
  <c r="L4" i="9"/>
  <c r="L9" i="9" s="1"/>
  <c r="K4" i="9"/>
  <c r="K9" i="9" s="1"/>
  <c r="J4" i="9"/>
  <c r="J9" i="9" s="1"/>
  <c r="I4" i="9"/>
  <c r="I9" i="9" s="1"/>
  <c r="H4" i="9"/>
  <c r="H9" i="9" s="1"/>
  <c r="G4" i="9"/>
  <c r="G9" i="9" s="1"/>
  <c r="F4" i="9"/>
  <c r="F9" i="9" s="1"/>
  <c r="P33" i="9"/>
  <c r="P34" i="9"/>
  <c r="P35" i="9"/>
  <c r="P13" i="9"/>
  <c r="P14" i="9"/>
  <c r="E41" i="9"/>
  <c r="E36" i="9"/>
  <c r="E15" i="9"/>
  <c r="E4" i="9"/>
  <c r="E9" i="9" s="1"/>
  <c r="D4" i="9"/>
  <c r="D9" i="9" s="1"/>
  <c r="O9" i="9"/>
  <c r="F15" i="9"/>
  <c r="G15" i="9"/>
  <c r="H15" i="9"/>
  <c r="I15" i="9"/>
  <c r="J15" i="9"/>
  <c r="K15" i="9"/>
  <c r="L15" i="9"/>
  <c r="M15" i="9"/>
  <c r="N15" i="9"/>
  <c r="O15" i="9"/>
  <c r="P46" i="9"/>
  <c r="P45" i="9"/>
  <c r="P42" i="9"/>
  <c r="O41" i="9"/>
  <c r="N41" i="9"/>
  <c r="M41" i="9"/>
  <c r="L41" i="9"/>
  <c r="K41" i="9"/>
  <c r="J41" i="9"/>
  <c r="I41" i="9"/>
  <c r="H41" i="9"/>
  <c r="G41" i="9"/>
  <c r="F41" i="9"/>
  <c r="D41" i="9"/>
  <c r="P40" i="9"/>
  <c r="P39" i="9"/>
  <c r="P38" i="9"/>
  <c r="P37" i="9"/>
  <c r="O36" i="9"/>
  <c r="N36" i="9"/>
  <c r="M36" i="9"/>
  <c r="L36" i="9"/>
  <c r="K36" i="9"/>
  <c r="J36" i="9"/>
  <c r="I36" i="9"/>
  <c r="H36" i="9"/>
  <c r="G36" i="9"/>
  <c r="F36" i="9"/>
  <c r="D36" i="9"/>
  <c r="P32" i="9"/>
  <c r="P31" i="9"/>
  <c r="P30" i="9"/>
  <c r="P29" i="9"/>
  <c r="P28" i="9"/>
  <c r="P27" i="9"/>
  <c r="P26" i="9"/>
  <c r="P25" i="9"/>
  <c r="P24" i="9"/>
  <c r="P23" i="9"/>
  <c r="P22" i="9"/>
  <c r="P21" i="9"/>
  <c r="P20" i="9"/>
  <c r="P19" i="9"/>
  <c r="P17" i="9"/>
  <c r="P16" i="9"/>
  <c r="D15" i="9"/>
  <c r="P12" i="9"/>
  <c r="P11" i="9"/>
  <c r="P10" i="9"/>
  <c r="P8" i="9"/>
  <c r="P7" i="9"/>
  <c r="P6" i="9"/>
  <c r="P5" i="9"/>
  <c r="P3" i="9"/>
  <c r="O4" i="8"/>
  <c r="O9" i="8" s="1"/>
  <c r="O18" i="8" s="1"/>
  <c r="N4" i="8"/>
  <c r="N9" i="8" s="1"/>
  <c r="M4" i="8"/>
  <c r="M9" i="8" s="1"/>
  <c r="L4" i="8"/>
  <c r="L9" i="8" s="1"/>
  <c r="K4" i="8"/>
  <c r="J4" i="8"/>
  <c r="J9" i="8" s="1"/>
  <c r="I4" i="8"/>
  <c r="I9" i="8" s="1"/>
  <c r="H4" i="8"/>
  <c r="H9" i="8" s="1"/>
  <c r="G4" i="8"/>
  <c r="G9" i="8" s="1"/>
  <c r="F4" i="8"/>
  <c r="F9" i="8" s="1"/>
  <c r="F16" i="8"/>
  <c r="E4" i="8"/>
  <c r="D4" i="8"/>
  <c r="D16" i="8"/>
  <c r="E16" i="8"/>
  <c r="P25" i="8"/>
  <c r="P46" i="8"/>
  <c r="P45" i="8"/>
  <c r="P42" i="8"/>
  <c r="O41" i="8"/>
  <c r="O43" i="8" s="1"/>
  <c r="N41" i="8"/>
  <c r="N43" i="8" s="1"/>
  <c r="M41" i="8"/>
  <c r="M43" i="8" s="1"/>
  <c r="L41" i="8"/>
  <c r="K41" i="8"/>
  <c r="J41" i="8"/>
  <c r="I41" i="8"/>
  <c r="H41" i="8"/>
  <c r="G41" i="8"/>
  <c r="F41" i="8"/>
  <c r="E41" i="8"/>
  <c r="D41" i="8"/>
  <c r="P40" i="8"/>
  <c r="P39" i="8"/>
  <c r="P38" i="8"/>
  <c r="P37" i="8"/>
  <c r="O36" i="8"/>
  <c r="N36" i="8"/>
  <c r="M36" i="8"/>
  <c r="L36" i="8"/>
  <c r="K36" i="8"/>
  <c r="J36" i="8"/>
  <c r="I36" i="8"/>
  <c r="I43" i="8" s="1"/>
  <c r="H36" i="8"/>
  <c r="H43" i="8" s="1"/>
  <c r="G36" i="8"/>
  <c r="F36" i="8"/>
  <c r="E36" i="8"/>
  <c r="D36" i="8"/>
  <c r="P35" i="8"/>
  <c r="P33" i="8"/>
  <c r="P32" i="8"/>
  <c r="P31" i="8"/>
  <c r="P30" i="8"/>
  <c r="P29" i="8"/>
  <c r="P28" i="8"/>
  <c r="P27" i="8"/>
  <c r="P26" i="8"/>
  <c r="P24" i="8"/>
  <c r="P23" i="8"/>
  <c r="P22" i="8"/>
  <c r="P21" i="8"/>
  <c r="P20" i="8"/>
  <c r="P19" i="8"/>
  <c r="P17" i="8"/>
  <c r="O15" i="8"/>
  <c r="N15" i="8"/>
  <c r="M15" i="8"/>
  <c r="L15" i="8"/>
  <c r="K15" i="8"/>
  <c r="J15" i="8"/>
  <c r="I15" i="8"/>
  <c r="H15" i="8"/>
  <c r="G15" i="8"/>
  <c r="F15" i="8"/>
  <c r="E15" i="8"/>
  <c r="D15" i="8"/>
  <c r="P14" i="8"/>
  <c r="P12" i="8"/>
  <c r="P11" i="8"/>
  <c r="P10" i="8"/>
  <c r="K9" i="8"/>
  <c r="K18" i="8" s="1"/>
  <c r="P8" i="8"/>
  <c r="P7" i="8"/>
  <c r="P6" i="8"/>
  <c r="P5" i="8"/>
  <c r="P3" i="8"/>
  <c r="O4" i="7"/>
  <c r="O9" i="7" s="1"/>
  <c r="O15" i="7"/>
  <c r="L4" i="7"/>
  <c r="L9" i="7" s="1"/>
  <c r="L15" i="7"/>
  <c r="K4" i="7"/>
  <c r="K15" i="7"/>
  <c r="J4" i="7"/>
  <c r="J9" i="7" s="1"/>
  <c r="J15" i="7"/>
  <c r="I4" i="7"/>
  <c r="I9" i="7" s="1"/>
  <c r="I15" i="7"/>
  <c r="H4" i="7"/>
  <c r="H9" i="7" s="1"/>
  <c r="H15" i="7"/>
  <c r="G4" i="7"/>
  <c r="G9" i="7" s="1"/>
  <c r="G15" i="7"/>
  <c r="F4" i="7"/>
  <c r="F9" i="7" s="1"/>
  <c r="F15" i="7"/>
  <c r="E4" i="7"/>
  <c r="E9" i="7" s="1"/>
  <c r="E15" i="7"/>
  <c r="D4" i="7"/>
  <c r="D9" i="7" s="1"/>
  <c r="D15" i="7"/>
  <c r="N4" i="7"/>
  <c r="N9" i="7" s="1"/>
  <c r="N15" i="7"/>
  <c r="M4" i="7"/>
  <c r="M9" i="7" s="1"/>
  <c r="M15" i="7"/>
  <c r="P12" i="7"/>
  <c r="P45" i="7"/>
  <c r="P44" i="7"/>
  <c r="P41" i="7"/>
  <c r="O40" i="7"/>
  <c r="N40" i="7"/>
  <c r="M40" i="7"/>
  <c r="L40" i="7"/>
  <c r="K40" i="7"/>
  <c r="J40" i="7"/>
  <c r="I40" i="7"/>
  <c r="H40" i="7"/>
  <c r="G40" i="7"/>
  <c r="F40" i="7"/>
  <c r="E40" i="7"/>
  <c r="D40" i="7"/>
  <c r="D42" i="7" s="1"/>
  <c r="P39" i="7"/>
  <c r="P38" i="7"/>
  <c r="P37" i="7"/>
  <c r="P36" i="7"/>
  <c r="O35" i="7"/>
  <c r="N35" i="7"/>
  <c r="M35" i="7"/>
  <c r="L35" i="7"/>
  <c r="K35" i="7"/>
  <c r="J35" i="7"/>
  <c r="I35" i="7"/>
  <c r="H35" i="7"/>
  <c r="G35" i="7"/>
  <c r="E35" i="7"/>
  <c r="D35" i="7"/>
  <c r="P34" i="7"/>
  <c r="F35" i="7"/>
  <c r="P32" i="7"/>
  <c r="P31" i="7"/>
  <c r="P30" i="7"/>
  <c r="P29" i="7"/>
  <c r="P28" i="7"/>
  <c r="P27" i="7"/>
  <c r="P26" i="7"/>
  <c r="P25" i="7"/>
  <c r="P24" i="7"/>
  <c r="P23" i="7"/>
  <c r="P22" i="7"/>
  <c r="P21" i="7"/>
  <c r="P20" i="7"/>
  <c r="P19" i="7"/>
  <c r="P18" i="7"/>
  <c r="P16" i="7"/>
  <c r="O14" i="7"/>
  <c r="N14" i="7"/>
  <c r="M14" i="7"/>
  <c r="H14" i="7"/>
  <c r="F14" i="7"/>
  <c r="E14" i="7"/>
  <c r="D14" i="7"/>
  <c r="L14" i="7"/>
  <c r="I14" i="7"/>
  <c r="P13" i="7"/>
  <c r="K14" i="7"/>
  <c r="J14" i="7"/>
  <c r="P11" i="7"/>
  <c r="P10" i="7"/>
  <c r="G14" i="7"/>
  <c r="P8" i="7"/>
  <c r="P7" i="7"/>
  <c r="P6" i="7"/>
  <c r="P5" i="7"/>
  <c r="K9" i="7"/>
  <c r="P3" i="7"/>
  <c r="O4" i="6"/>
  <c r="O9" i="6" s="1"/>
  <c r="O40" i="6"/>
  <c r="O15" i="6"/>
  <c r="N4" i="6"/>
  <c r="N9" i="6" s="1"/>
  <c r="N40" i="6"/>
  <c r="N15" i="6"/>
  <c r="M4" i="6"/>
  <c r="M40" i="6"/>
  <c r="M15" i="6"/>
  <c r="M8" i="6"/>
  <c r="P8" i="6" s="1"/>
  <c r="M14" i="6"/>
  <c r="M5" i="6"/>
  <c r="L4" i="6"/>
  <c r="L9" i="6" s="1"/>
  <c r="P37" i="6"/>
  <c r="P38" i="6"/>
  <c r="P39" i="6"/>
  <c r="L40" i="6"/>
  <c r="P16" i="6"/>
  <c r="N14" i="6"/>
  <c r="O14" i="6"/>
  <c r="L13" i="6"/>
  <c r="L14" i="6" s="1"/>
  <c r="L15" i="6"/>
  <c r="K4" i="6"/>
  <c r="K9" i="6" s="1"/>
  <c r="K40" i="6"/>
  <c r="K15" i="6"/>
  <c r="K13" i="6"/>
  <c r="K12" i="6"/>
  <c r="J4" i="6"/>
  <c r="J9" i="6" s="1"/>
  <c r="J40" i="6"/>
  <c r="J15" i="6"/>
  <c r="J11" i="6"/>
  <c r="J14" i="6" s="1"/>
  <c r="I4" i="6"/>
  <c r="I13" i="6"/>
  <c r="I14" i="6" s="1"/>
  <c r="I15" i="6"/>
  <c r="I5" i="6"/>
  <c r="H4" i="6"/>
  <c r="H3" i="6"/>
  <c r="P3" i="6" s="1"/>
  <c r="I35" i="6"/>
  <c r="J35" i="6"/>
  <c r="K35" i="6"/>
  <c r="K42" i="6" s="1"/>
  <c r="L35" i="6"/>
  <c r="M35" i="6"/>
  <c r="N35" i="6"/>
  <c r="O35" i="6"/>
  <c r="G4" i="6"/>
  <c r="F13" i="6"/>
  <c r="F14" i="6" s="1"/>
  <c r="F4" i="6"/>
  <c r="F9" i="6" s="1"/>
  <c r="H35" i="6"/>
  <c r="H15" i="6"/>
  <c r="I40" i="6"/>
  <c r="H14" i="6"/>
  <c r="G35" i="6"/>
  <c r="G40" i="6"/>
  <c r="H40" i="6"/>
  <c r="G15" i="6"/>
  <c r="G11" i="6"/>
  <c r="G10" i="6"/>
  <c r="P10" i="6" s="1"/>
  <c r="G5" i="6"/>
  <c r="E40" i="6"/>
  <c r="F40" i="6"/>
  <c r="D40" i="6"/>
  <c r="E35" i="6"/>
  <c r="D35" i="6"/>
  <c r="F34" i="6"/>
  <c r="F35" i="6" s="1"/>
  <c r="F15" i="6"/>
  <c r="P45" i="6"/>
  <c r="E14" i="6"/>
  <c r="P41" i="6"/>
  <c r="D14" i="6"/>
  <c r="P7" i="6"/>
  <c r="P44" i="6"/>
  <c r="P36" i="6"/>
  <c r="P32" i="6"/>
  <c r="P31" i="6"/>
  <c r="P30" i="6"/>
  <c r="P29" i="6"/>
  <c r="P28" i="6"/>
  <c r="P27" i="6"/>
  <c r="P26" i="6"/>
  <c r="P25" i="6"/>
  <c r="P24" i="6"/>
  <c r="P23" i="6"/>
  <c r="P22" i="6"/>
  <c r="P21" i="6"/>
  <c r="P20" i="6"/>
  <c r="P19" i="6"/>
  <c r="P18" i="6"/>
  <c r="E9" i="6"/>
  <c r="D9" i="6"/>
  <c r="P6" i="6"/>
  <c r="P26" i="4"/>
  <c r="P34" i="5"/>
  <c r="O32" i="5"/>
  <c r="N32" i="5"/>
  <c r="M32" i="5"/>
  <c r="L32" i="5"/>
  <c r="K32" i="5"/>
  <c r="J32" i="5"/>
  <c r="I32" i="5"/>
  <c r="H32" i="5"/>
  <c r="G32" i="5"/>
  <c r="F32" i="5"/>
  <c r="E32" i="5"/>
  <c r="D32" i="5"/>
  <c r="P31" i="5"/>
  <c r="P30" i="5"/>
  <c r="P29" i="5"/>
  <c r="P28" i="5"/>
  <c r="P27" i="5"/>
  <c r="P26" i="5"/>
  <c r="P25" i="5"/>
  <c r="P24" i="5"/>
  <c r="P23" i="5"/>
  <c r="P22" i="5"/>
  <c r="P21" i="5"/>
  <c r="P20" i="5"/>
  <c r="P19" i="5"/>
  <c r="P18" i="5"/>
  <c r="P17" i="5"/>
  <c r="P16" i="5"/>
  <c r="P15" i="5"/>
  <c r="P14" i="5"/>
  <c r="P13" i="5"/>
  <c r="P12" i="5"/>
  <c r="P11" i="5"/>
  <c r="P9" i="5"/>
  <c r="O8" i="5"/>
  <c r="O10" i="5" s="1"/>
  <c r="N8" i="5"/>
  <c r="N10" i="5" s="1"/>
  <c r="M8" i="5"/>
  <c r="M10" i="5" s="1"/>
  <c r="L8" i="5"/>
  <c r="L10" i="5" s="1"/>
  <c r="K8" i="5"/>
  <c r="K10" i="5" s="1"/>
  <c r="J8" i="5"/>
  <c r="J10" i="5" s="1"/>
  <c r="I8" i="5"/>
  <c r="I10" i="5" s="1"/>
  <c r="H8" i="5"/>
  <c r="H10" i="5" s="1"/>
  <c r="G8" i="5"/>
  <c r="G10" i="5" s="1"/>
  <c r="F8" i="5"/>
  <c r="F10" i="5" s="1"/>
  <c r="E8" i="5"/>
  <c r="E10" i="5" s="1"/>
  <c r="D8" i="5"/>
  <c r="D10" i="5" s="1"/>
  <c r="P7" i="5"/>
  <c r="P6" i="5"/>
  <c r="P5" i="5"/>
  <c r="P4" i="5"/>
  <c r="P3" i="5"/>
  <c r="P22" i="4"/>
  <c r="P21" i="4"/>
  <c r="P25" i="4"/>
  <c r="E33" i="4"/>
  <c r="E8" i="4"/>
  <c r="E10" i="4" s="1"/>
  <c r="F33" i="4"/>
  <c r="F8" i="4"/>
  <c r="F10" i="4" s="1"/>
  <c r="G33" i="4"/>
  <c r="G8" i="4"/>
  <c r="G10" i="4" s="1"/>
  <c r="G34" i="4" s="1"/>
  <c r="G36" i="4" s="1"/>
  <c r="H8" i="4"/>
  <c r="H10" i="4" s="1"/>
  <c r="H33" i="4"/>
  <c r="I33" i="4"/>
  <c r="I8" i="4"/>
  <c r="I10" i="4" s="1"/>
  <c r="I34" i="4" s="1"/>
  <c r="I36" i="4" s="1"/>
  <c r="J33" i="4"/>
  <c r="J8" i="4"/>
  <c r="J10" i="4" s="1"/>
  <c r="K33" i="4"/>
  <c r="K8" i="4"/>
  <c r="K10" i="4" s="1"/>
  <c r="K34" i="4" s="1"/>
  <c r="K36" i="4" s="1"/>
  <c r="L33" i="4"/>
  <c r="L8" i="4"/>
  <c r="L10" i="4" s="1"/>
  <c r="M33" i="4"/>
  <c r="M8" i="4"/>
  <c r="M10" i="4" s="1"/>
  <c r="N33" i="4"/>
  <c r="N8" i="4"/>
  <c r="N10" i="4" s="1"/>
  <c r="O33" i="4"/>
  <c r="O8" i="4"/>
  <c r="O10" i="4" s="1"/>
  <c r="D33" i="4"/>
  <c r="D8" i="4"/>
  <c r="D10" i="4" s="1"/>
  <c r="P24" i="4"/>
  <c r="P23" i="4"/>
  <c r="P32" i="4"/>
  <c r="P31" i="4"/>
  <c r="P30" i="4"/>
  <c r="P29" i="4"/>
  <c r="P28" i="4"/>
  <c r="P27" i="4"/>
  <c r="P20" i="4"/>
  <c r="P19" i="4"/>
  <c r="P18" i="4"/>
  <c r="P17" i="4"/>
  <c r="P16" i="4"/>
  <c r="P15" i="4"/>
  <c r="P14" i="4"/>
  <c r="P13" i="4"/>
  <c r="P12" i="4"/>
  <c r="P11" i="4"/>
  <c r="P9" i="4"/>
  <c r="P7" i="4"/>
  <c r="P6" i="4"/>
  <c r="P5" i="4"/>
  <c r="P4" i="4"/>
  <c r="P3" i="4"/>
  <c r="P26" i="1"/>
  <c r="P27" i="1"/>
  <c r="P6" i="1"/>
  <c r="E9" i="1"/>
  <c r="E11" i="1" s="1"/>
  <c r="E29" i="1"/>
  <c r="F9" i="1"/>
  <c r="F11" i="1" s="1"/>
  <c r="F29" i="1"/>
  <c r="G9" i="1"/>
  <c r="G11" i="1" s="1"/>
  <c r="G29" i="1"/>
  <c r="H9" i="1"/>
  <c r="H11" i="1" s="1"/>
  <c r="H29" i="1"/>
  <c r="I9" i="1"/>
  <c r="I11" i="1" s="1"/>
  <c r="I29" i="1"/>
  <c r="J9" i="1"/>
  <c r="J11" i="1" s="1"/>
  <c r="J29" i="1"/>
  <c r="K9" i="1"/>
  <c r="K11" i="1" s="1"/>
  <c r="K29" i="1"/>
  <c r="L9" i="1"/>
  <c r="L11" i="1" s="1"/>
  <c r="L29" i="1"/>
  <c r="M9" i="1"/>
  <c r="M11" i="1" s="1"/>
  <c r="M29" i="1"/>
  <c r="N9" i="1"/>
  <c r="N11" i="1" s="1"/>
  <c r="N29" i="1"/>
  <c r="O9" i="1"/>
  <c r="O11" i="1" s="1"/>
  <c r="O29" i="1"/>
  <c r="D9" i="1"/>
  <c r="D11" i="1" s="1"/>
  <c r="D29" i="1"/>
  <c r="P28" i="1"/>
  <c r="P25" i="1"/>
  <c r="P24" i="1"/>
  <c r="P23" i="1"/>
  <c r="P22" i="1"/>
  <c r="P20" i="1"/>
  <c r="P19" i="1"/>
  <c r="P18" i="1"/>
  <c r="P17" i="1"/>
  <c r="P5" i="1"/>
  <c r="P7" i="1"/>
  <c r="P8" i="1"/>
  <c r="P10" i="1"/>
  <c r="P12" i="1"/>
  <c r="P13" i="1"/>
  <c r="P14" i="1"/>
  <c r="P15" i="1"/>
  <c r="P16" i="1"/>
  <c r="P21" i="1"/>
  <c r="P31" i="1"/>
  <c r="P4" i="1"/>
  <c r="P35" i="4"/>
  <c r="I42" i="6"/>
  <c r="F42" i="7"/>
  <c r="G42" i="7"/>
  <c r="D9" i="8"/>
  <c r="J43" i="8"/>
  <c r="D43" i="8" l="1"/>
  <c r="O42" i="6"/>
  <c r="E43" i="8"/>
  <c r="F43" i="8"/>
  <c r="L43" i="8"/>
  <c r="I42" i="7"/>
  <c r="J42" i="7"/>
  <c r="K42" i="7"/>
  <c r="L42" i="7"/>
  <c r="M42" i="7"/>
  <c r="K43" i="8"/>
  <c r="K44" i="8" s="1"/>
  <c r="K47" i="8" s="1"/>
  <c r="H42" i="7"/>
  <c r="P42" i="7" s="1"/>
  <c r="N42" i="7"/>
  <c r="O42" i="7"/>
  <c r="H33" i="5"/>
  <c r="H35" i="5" s="1"/>
  <c r="L33" i="5"/>
  <c r="L35" i="5" s="1"/>
  <c r="H18" i="8"/>
  <c r="H44" i="8" s="1"/>
  <c r="H47" i="8" s="1"/>
  <c r="D17" i="7"/>
  <c r="D43" i="7" s="1"/>
  <c r="D46" i="7" s="1"/>
  <c r="F17" i="6"/>
  <c r="M9" i="6"/>
  <c r="E42" i="7"/>
  <c r="E17" i="6"/>
  <c r="O44" i="8"/>
  <c r="O47" i="8" s="1"/>
  <c r="G18" i="8"/>
  <c r="P36" i="8"/>
  <c r="P41" i="8"/>
  <c r="L18" i="8"/>
  <c r="P14" i="7"/>
  <c r="P35" i="7"/>
  <c r="M17" i="7"/>
  <c r="M43" i="7" s="1"/>
  <c r="M46" i="7" s="1"/>
  <c r="J17" i="7"/>
  <c r="L17" i="7"/>
  <c r="L43" i="7" s="1"/>
  <c r="L46" i="7" s="1"/>
  <c r="P15" i="8"/>
  <c r="P11" i="6"/>
  <c r="M42" i="6"/>
  <c r="F18" i="8"/>
  <c r="F44" i="8" s="1"/>
  <c r="F47" i="8" s="1"/>
  <c r="J18" i="8"/>
  <c r="J44" i="8" s="1"/>
  <c r="J47" i="8" s="1"/>
  <c r="N18" i="8"/>
  <c r="N44" i="8" s="1"/>
  <c r="N47" i="8" s="1"/>
  <c r="G43" i="8"/>
  <c r="P43" i="8" s="1"/>
  <c r="M17" i="6"/>
  <c r="H34" i="4"/>
  <c r="H36" i="4" s="1"/>
  <c r="O30" i="1"/>
  <c r="O32" i="1" s="1"/>
  <c r="M30" i="1"/>
  <c r="M32" i="1" s="1"/>
  <c r="K30" i="1"/>
  <c r="K32" i="1" s="1"/>
  <c r="I30" i="1"/>
  <c r="I32" i="1" s="1"/>
  <c r="G42" i="6"/>
  <c r="P4" i="8"/>
  <c r="F30" i="1"/>
  <c r="F32" i="1" s="1"/>
  <c r="P15" i="7"/>
  <c r="L17" i="6"/>
  <c r="O17" i="6"/>
  <c r="O43" i="6" s="1"/>
  <c r="O46" i="6" s="1"/>
  <c r="F17" i="7"/>
  <c r="F43" i="7" s="1"/>
  <c r="F46" i="7" s="1"/>
  <c r="H17" i="7"/>
  <c r="H43" i="7" s="1"/>
  <c r="H46" i="7" s="1"/>
  <c r="I18" i="8"/>
  <c r="I44" i="8" s="1"/>
  <c r="I47" i="8" s="1"/>
  <c r="M18" i="8"/>
  <c r="M44" i="8" s="1"/>
  <c r="M47" i="8" s="1"/>
  <c r="M34" i="4"/>
  <c r="M36" i="4" s="1"/>
  <c r="J43" i="7"/>
  <c r="J46" i="7" s="1"/>
  <c r="G14" i="6"/>
  <c r="P8" i="4"/>
  <c r="G33" i="5"/>
  <c r="G35" i="5" s="1"/>
  <c r="K33" i="5"/>
  <c r="K35" i="5" s="1"/>
  <c r="O33" i="5"/>
  <c r="O35" i="5" s="1"/>
  <c r="D17" i="6"/>
  <c r="G9" i="6"/>
  <c r="N42" i="6"/>
  <c r="K17" i="7"/>
  <c r="K43" i="7" s="1"/>
  <c r="K46" i="7" s="1"/>
  <c r="E43" i="9"/>
  <c r="P29" i="1"/>
  <c r="E42" i="6"/>
  <c r="N17" i="6"/>
  <c r="P40" i="7"/>
  <c r="N17" i="7"/>
  <c r="N43" i="7" s="1"/>
  <c r="N46" i="7" s="1"/>
  <c r="G17" i="7"/>
  <c r="G43" i="7" s="1"/>
  <c r="G46" i="7" s="1"/>
  <c r="I17" i="7"/>
  <c r="I43" i="7" s="1"/>
  <c r="I46" i="7" s="1"/>
  <c r="O17" i="7"/>
  <c r="O43" i="7" s="1"/>
  <c r="O46" i="7" s="1"/>
  <c r="L42" i="6"/>
  <c r="O34" i="4"/>
  <c r="O36" i="4" s="1"/>
  <c r="E17" i="7"/>
  <c r="E43" i="7" s="1"/>
  <c r="E46" i="7" s="1"/>
  <c r="P9" i="7"/>
  <c r="N30" i="1"/>
  <c r="N32" i="1" s="1"/>
  <c r="G30" i="1"/>
  <c r="G32" i="1" s="1"/>
  <c r="E30" i="1"/>
  <c r="E32" i="1" s="1"/>
  <c r="E34" i="4"/>
  <c r="E36" i="4" s="1"/>
  <c r="E33" i="5"/>
  <c r="E35" i="5" s="1"/>
  <c r="I33" i="5"/>
  <c r="I35" i="5" s="1"/>
  <c r="M33" i="5"/>
  <c r="M35" i="5" s="1"/>
  <c r="D42" i="6"/>
  <c r="P4" i="6"/>
  <c r="J42" i="6"/>
  <c r="I9" i="6"/>
  <c r="I17" i="6" s="1"/>
  <c r="I43" i="6" s="1"/>
  <c r="I46" i="6" s="1"/>
  <c r="J17" i="6"/>
  <c r="K14" i="6"/>
  <c r="K17" i="6" s="1"/>
  <c r="K43" i="6" s="1"/>
  <c r="K46" i="6" s="1"/>
  <c r="P4" i="7"/>
  <c r="E9" i="8"/>
  <c r="E18" i="8" s="1"/>
  <c r="E44" i="8" s="1"/>
  <c r="G44" i="8"/>
  <c r="G47" i="8" s="1"/>
  <c r="P9" i="1"/>
  <c r="F34" i="4"/>
  <c r="F36" i="4" s="1"/>
  <c r="P40" i="6"/>
  <c r="H9" i="6"/>
  <c r="H17" i="6" s="1"/>
  <c r="P8" i="5"/>
  <c r="J30" i="1"/>
  <c r="J32" i="1" s="1"/>
  <c r="L34" i="4"/>
  <c r="L36" i="4" s="1"/>
  <c r="F33" i="5"/>
  <c r="F35" i="5" s="1"/>
  <c r="J33" i="5"/>
  <c r="J35" i="5" s="1"/>
  <c r="N33" i="5"/>
  <c r="N35" i="5" s="1"/>
  <c r="P32" i="5"/>
  <c r="P34" i="6"/>
  <c r="P5" i="6"/>
  <c r="P13" i="6"/>
  <c r="E18" i="9"/>
  <c r="E44" i="9" s="1"/>
  <c r="E47" i="9" s="1"/>
  <c r="P43" i="11"/>
  <c r="P10" i="5"/>
  <c r="D33" i="5"/>
  <c r="D35" i="5" s="1"/>
  <c r="L44" i="8"/>
  <c r="L47" i="8" s="1"/>
  <c r="D18" i="8"/>
  <c r="D44" i="8" s="1"/>
  <c r="D47" i="8" s="1"/>
  <c r="L30" i="1"/>
  <c r="L32" i="1" s="1"/>
  <c r="H30" i="1"/>
  <c r="H32" i="1" s="1"/>
  <c r="P33" i="4"/>
  <c r="N34" i="4"/>
  <c r="N36" i="4" s="1"/>
  <c r="J34" i="4"/>
  <c r="J36" i="4" s="1"/>
  <c r="P15" i="6"/>
  <c r="H42" i="6"/>
  <c r="P16" i="8"/>
  <c r="I43" i="9"/>
  <c r="D18" i="11"/>
  <c r="P9" i="11"/>
  <c r="D30" i="1"/>
  <c r="P11" i="1"/>
  <c r="D34" i="4"/>
  <c r="P10" i="4"/>
  <c r="F42" i="6"/>
  <c r="P35" i="6"/>
  <c r="O43" i="9"/>
  <c r="N43" i="9"/>
  <c r="N18" i="9"/>
  <c r="M43" i="9"/>
  <c r="M18" i="9"/>
  <c r="K43" i="9"/>
  <c r="J43" i="9"/>
  <c r="I18" i="9"/>
  <c r="G43" i="9"/>
  <c r="F43" i="9"/>
  <c r="P41" i="9"/>
  <c r="P36" i="9"/>
  <c r="H43" i="9"/>
  <c r="L43" i="9"/>
  <c r="H18" i="9"/>
  <c r="P15" i="9"/>
  <c r="K18" i="9"/>
  <c r="F18" i="9"/>
  <c r="L18" i="9"/>
  <c r="G18" i="9"/>
  <c r="O18" i="9"/>
  <c r="J18" i="9"/>
  <c r="P9" i="9"/>
  <c r="D18" i="9"/>
  <c r="P4" i="9"/>
  <c r="D43" i="9"/>
  <c r="D43" i="6" l="1"/>
  <c r="E43" i="6"/>
  <c r="E46" i="6" s="1"/>
  <c r="N43" i="6"/>
  <c r="N46" i="6" s="1"/>
  <c r="M43" i="6"/>
  <c r="M46" i="6" s="1"/>
  <c r="I44" i="9"/>
  <c r="I47" i="9" s="1"/>
  <c r="G44" i="9"/>
  <c r="G47" i="9" s="1"/>
  <c r="J43" i="6"/>
  <c r="J46" i="6" s="1"/>
  <c r="G17" i="6"/>
  <c r="G43" i="6" s="1"/>
  <c r="G46" i="6" s="1"/>
  <c r="P18" i="8"/>
  <c r="L43" i="6"/>
  <c r="L46" i="6" s="1"/>
  <c r="P17" i="7"/>
  <c r="P14" i="6"/>
  <c r="P9" i="8"/>
  <c r="P46" i="7"/>
  <c r="P42" i="6"/>
  <c r="P43" i="7"/>
  <c r="F44" i="9"/>
  <c r="F47" i="9" s="1"/>
  <c r="N44" i="9"/>
  <c r="N47" i="9" s="1"/>
  <c r="F43" i="6"/>
  <c r="F46" i="6" s="1"/>
  <c r="P9" i="6"/>
  <c r="P33" i="5"/>
  <c r="M44" i="9"/>
  <c r="M47" i="9" s="1"/>
  <c r="P35" i="5"/>
  <c r="H43" i="6"/>
  <c r="H46" i="6" s="1"/>
  <c r="D44" i="11"/>
  <c r="P18" i="11"/>
  <c r="P44" i="8"/>
  <c r="E47" i="8"/>
  <c r="P47" i="8" s="1"/>
  <c r="P34" i="4"/>
  <c r="D36" i="4"/>
  <c r="P36" i="4" s="1"/>
  <c r="P30" i="1"/>
  <c r="D32" i="1"/>
  <c r="P32" i="1" s="1"/>
  <c r="D46" i="6"/>
  <c r="O44" i="9"/>
  <c r="O47" i="9" s="1"/>
  <c r="K44" i="9"/>
  <c r="K47" i="9" s="1"/>
  <c r="J44" i="9"/>
  <c r="J47" i="9" s="1"/>
  <c r="H44" i="9"/>
  <c r="H47" i="9" s="1"/>
  <c r="L44" i="9"/>
  <c r="L47" i="9" s="1"/>
  <c r="P43" i="9"/>
  <c r="D44" i="9"/>
  <c r="P18" i="9"/>
  <c r="P17" i="6" l="1"/>
  <c r="P43" i="6"/>
  <c r="P46" i="6"/>
  <c r="P44" i="11"/>
  <c r="D47" i="11"/>
  <c r="P44" i="9"/>
  <c r="D47" i="9"/>
  <c r="P47" i="9" s="1"/>
  <c r="P47" i="11" l="1"/>
  <c r="E13" i="10"/>
  <c r="G13" i="10"/>
  <c r="F13" i="10"/>
  <c r="H13" i="10"/>
  <c r="D13" i="10"/>
  <c r="H19" i="14"/>
  <c r="H45" i="14" s="1"/>
  <c r="H48" i="14" l="1"/>
  <c r="P16" i="14"/>
  <c r="F19" i="14"/>
  <c r="P19" i="14" s="1"/>
  <c r="F45" i="14" l="1"/>
  <c r="P45" i="14" l="1"/>
  <c r="F48" i="14"/>
  <c r="P48" i="14" s="1"/>
  <c r="P11" i="23"/>
  <c r="I16" i="23"/>
  <c r="I19" i="23" s="1"/>
  <c r="R19" i="23" s="1"/>
  <c r="P19" i="23" l="1"/>
  <c r="I45" i="23"/>
  <c r="P16" i="23"/>
  <c r="P45" i="23" l="1"/>
  <c r="I48" i="23"/>
  <c r="P48" i="23" s="1"/>
</calcChain>
</file>

<file path=xl/sharedStrings.xml><?xml version="1.0" encoding="utf-8"?>
<sst xmlns="http://schemas.openxmlformats.org/spreadsheetml/2006/main" count="1231" uniqueCount="229">
  <si>
    <t>1월</t>
    <phoneticPr fontId="14" type="noConversion"/>
  </si>
  <si>
    <t>2월</t>
    <phoneticPr fontId="14" type="noConversion"/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</si>
  <si>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</si>
  <si>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</si>
  <si>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</si>
  <si>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</si>
  <si>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</si>
  <si>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</si>
  <si>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</si>
  <si>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</si>
  <si>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</si>
  <si>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</si>
  <si>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2009년 자동차 선적현황</t>
    <phoneticPr fontId="14" type="noConversion"/>
  </si>
  <si>
    <t>구  분</t>
    <phoneticPr fontId="14" type="noConversion"/>
  </si>
  <si>
    <t>수
출
차</t>
    <phoneticPr fontId="14" type="noConversion"/>
  </si>
  <si>
    <t>신
차</t>
    <phoneticPr fontId="14" type="noConversion"/>
  </si>
  <si>
    <t>기아</t>
    <phoneticPr fontId="14" type="noConversion"/>
  </si>
  <si>
    <t>현대</t>
    <phoneticPr fontId="14" type="noConversion"/>
  </si>
  <si>
    <t>쌍용</t>
    <phoneticPr fontId="14" type="noConversion"/>
  </si>
  <si>
    <t>기타</t>
    <phoneticPr fontId="14" type="noConversion"/>
  </si>
  <si>
    <t>중 고 차</t>
    <phoneticPr fontId="14" type="noConversion"/>
  </si>
  <si>
    <t>수
입
차</t>
    <phoneticPr fontId="14" type="noConversion"/>
  </si>
  <si>
    <t>소  계</t>
    <phoneticPr fontId="14" type="noConversion"/>
  </si>
  <si>
    <t>아우디</t>
    <phoneticPr fontId="14" type="noConversion"/>
  </si>
  <si>
    <t>폭스바겐</t>
    <phoneticPr fontId="14" type="noConversion"/>
  </si>
  <si>
    <t>BMW</t>
    <phoneticPr fontId="14" type="noConversion"/>
  </si>
  <si>
    <t>벤츠</t>
    <phoneticPr fontId="14" type="noConversion"/>
  </si>
  <si>
    <t>크라이슬러</t>
    <phoneticPr fontId="14" type="noConversion"/>
  </si>
  <si>
    <t>포드</t>
    <phoneticPr fontId="14" type="noConversion"/>
  </si>
  <si>
    <t>재규어</t>
    <phoneticPr fontId="14" type="noConversion"/>
  </si>
  <si>
    <t>랜드로버</t>
    <phoneticPr fontId="14" type="noConversion"/>
  </si>
  <si>
    <t>볼보</t>
    <phoneticPr fontId="14" type="noConversion"/>
  </si>
  <si>
    <t>푸조</t>
    <phoneticPr fontId="14" type="noConversion"/>
  </si>
  <si>
    <t>포르쉐</t>
    <phoneticPr fontId="14" type="noConversion"/>
  </si>
  <si>
    <t>닛산</t>
    <phoneticPr fontId="14" type="noConversion"/>
  </si>
  <si>
    <t>승
용
차</t>
    <phoneticPr fontId="14" type="noConversion"/>
  </si>
  <si>
    <t>벤츠트럭</t>
    <phoneticPr fontId="14" type="noConversion"/>
  </si>
  <si>
    <t>존디어</t>
    <phoneticPr fontId="14" type="noConversion"/>
  </si>
  <si>
    <t>H
&amp;
H</t>
    <phoneticPr fontId="14" type="noConversion"/>
  </si>
  <si>
    <t>계(a)</t>
    <phoneticPr fontId="14" type="noConversion"/>
  </si>
  <si>
    <t>계(b)</t>
    <phoneticPr fontId="14" type="noConversion"/>
  </si>
  <si>
    <t>합  계(a+b)</t>
    <phoneticPr fontId="14" type="noConversion"/>
  </si>
  <si>
    <t>총  계(a+b+c)</t>
    <phoneticPr fontId="14" type="noConversion"/>
  </si>
  <si>
    <t>T/S(c)</t>
    <phoneticPr fontId="14" type="noConversion"/>
  </si>
  <si>
    <t>합  계</t>
    <phoneticPr fontId="14" type="noConversion"/>
  </si>
  <si>
    <t>GM대우</t>
    <phoneticPr fontId="14" type="noConversion"/>
  </si>
  <si>
    <t>만트럭</t>
    <phoneticPr fontId="14" type="noConversion"/>
  </si>
  <si>
    <t>기  타</t>
    <phoneticPr fontId="14" type="noConversion"/>
  </si>
  <si>
    <t>캐터필라</t>
    <phoneticPr fontId="14" type="noConversion"/>
  </si>
  <si>
    <t>-</t>
    <phoneticPr fontId="14" type="noConversion"/>
  </si>
  <si>
    <t>캐딜락</t>
    <phoneticPr fontId="14" type="noConversion"/>
  </si>
  <si>
    <t>토요타&amp;렉서스</t>
    <phoneticPr fontId="14" type="noConversion"/>
  </si>
  <si>
    <t>스바루</t>
    <phoneticPr fontId="14" type="noConversion"/>
  </si>
  <si>
    <t>롤스로이스</t>
    <phoneticPr fontId="14" type="noConversion"/>
  </si>
  <si>
    <t>2011년 자동차 선적현황</t>
    <phoneticPr fontId="14" type="noConversion"/>
  </si>
  <si>
    <t>2010년 자동차 선적현황</t>
    <phoneticPr fontId="14" type="noConversion"/>
  </si>
  <si>
    <t>구  분</t>
    <phoneticPr fontId="14" type="noConversion"/>
  </si>
  <si>
    <t>1월</t>
    <phoneticPr fontId="14" type="noConversion"/>
  </si>
  <si>
    <t>2월</t>
    <phoneticPr fontId="14" type="noConversion"/>
  </si>
  <si>
    <t>합  계</t>
    <phoneticPr fontId="14" type="noConversion"/>
  </si>
  <si>
    <t>수
출
차</t>
    <phoneticPr fontId="14" type="noConversion"/>
  </si>
  <si>
    <t>신
차</t>
    <phoneticPr fontId="14" type="noConversion"/>
  </si>
  <si>
    <t>기아</t>
    <phoneticPr fontId="14" type="noConversion"/>
  </si>
  <si>
    <t>현대</t>
    <phoneticPr fontId="14" type="noConversion"/>
  </si>
  <si>
    <t>GM대우</t>
    <phoneticPr fontId="14" type="noConversion"/>
  </si>
  <si>
    <t>쌍용</t>
    <phoneticPr fontId="14" type="noConversion"/>
  </si>
  <si>
    <t>기타</t>
    <phoneticPr fontId="14" type="noConversion"/>
  </si>
  <si>
    <t>소  계</t>
    <phoneticPr fontId="14" type="noConversion"/>
  </si>
  <si>
    <t>중 고 차</t>
    <phoneticPr fontId="14" type="noConversion"/>
  </si>
  <si>
    <t>계(a)</t>
    <phoneticPr fontId="14" type="noConversion"/>
  </si>
  <si>
    <t>수
입
차</t>
    <phoneticPr fontId="14" type="noConversion"/>
  </si>
  <si>
    <t>승
용
차</t>
    <phoneticPr fontId="14" type="noConversion"/>
  </si>
  <si>
    <t>아우디</t>
    <phoneticPr fontId="14" type="noConversion"/>
  </si>
  <si>
    <t>폭스바겐</t>
    <phoneticPr fontId="14" type="noConversion"/>
  </si>
  <si>
    <t>BMW</t>
    <phoneticPr fontId="14" type="noConversion"/>
  </si>
  <si>
    <t>벤츠</t>
    <phoneticPr fontId="14" type="noConversion"/>
  </si>
  <si>
    <t>크라이슬러</t>
    <phoneticPr fontId="14" type="noConversion"/>
  </si>
  <si>
    <t>포드</t>
    <phoneticPr fontId="14" type="noConversion"/>
  </si>
  <si>
    <t>재규어</t>
    <phoneticPr fontId="14" type="noConversion"/>
  </si>
  <si>
    <t>랜드로버</t>
    <phoneticPr fontId="14" type="noConversion"/>
  </si>
  <si>
    <t>볼보</t>
    <phoneticPr fontId="14" type="noConversion"/>
  </si>
  <si>
    <t>푸조</t>
    <phoneticPr fontId="14" type="noConversion"/>
  </si>
  <si>
    <t>포르쉐</t>
    <phoneticPr fontId="14" type="noConversion"/>
  </si>
  <si>
    <t>캐딜락</t>
    <phoneticPr fontId="14" type="noConversion"/>
  </si>
  <si>
    <t>토요타&amp;렉서스</t>
    <phoneticPr fontId="14" type="noConversion"/>
  </si>
  <si>
    <t>스바루</t>
    <phoneticPr fontId="14" type="noConversion"/>
  </si>
  <si>
    <t>롤스로이스</t>
    <phoneticPr fontId="14" type="noConversion"/>
  </si>
  <si>
    <t>닛산</t>
    <phoneticPr fontId="14" type="noConversion"/>
  </si>
  <si>
    <t>H
&amp;
H</t>
    <phoneticPr fontId="14" type="noConversion"/>
  </si>
  <si>
    <t>벤츠트럭</t>
    <phoneticPr fontId="14" type="noConversion"/>
  </si>
  <si>
    <t>만트럭</t>
    <phoneticPr fontId="14" type="noConversion"/>
  </si>
  <si>
    <t>존디어</t>
    <phoneticPr fontId="14" type="noConversion"/>
  </si>
  <si>
    <t>캐터필라</t>
    <phoneticPr fontId="14" type="noConversion"/>
  </si>
  <si>
    <t>기  타</t>
    <phoneticPr fontId="14" type="noConversion"/>
  </si>
  <si>
    <t>계(b)</t>
    <phoneticPr fontId="14" type="noConversion"/>
  </si>
  <si>
    <t>합  계(a+b)</t>
    <phoneticPr fontId="14" type="noConversion"/>
  </si>
  <si>
    <t>T/S(c)</t>
    <phoneticPr fontId="14" type="noConversion"/>
  </si>
  <si>
    <t>총  계(a+b+c)</t>
    <phoneticPr fontId="14" type="noConversion"/>
  </si>
  <si>
    <t>혼다</t>
    <phoneticPr fontId="14" type="noConversion"/>
  </si>
  <si>
    <t>2012년 자동차 선적현황</t>
    <phoneticPr fontId="14" type="noConversion"/>
  </si>
  <si>
    <t>BMW</t>
    <phoneticPr fontId="14" type="noConversion"/>
  </si>
  <si>
    <t>벤츠</t>
    <phoneticPr fontId="14" type="noConversion"/>
  </si>
  <si>
    <t>아우디</t>
    <phoneticPr fontId="14" type="noConversion"/>
  </si>
  <si>
    <t>폭스바겐</t>
    <phoneticPr fontId="14" type="noConversion"/>
  </si>
  <si>
    <t>포드</t>
    <phoneticPr fontId="14" type="noConversion"/>
  </si>
  <si>
    <t>재규어</t>
    <phoneticPr fontId="14" type="noConversion"/>
  </si>
  <si>
    <t>닛산</t>
    <phoneticPr fontId="14" type="noConversion"/>
  </si>
  <si>
    <t>포르쉐</t>
    <phoneticPr fontId="14" type="noConversion"/>
  </si>
  <si>
    <t>볼보</t>
    <phoneticPr fontId="14" type="noConversion"/>
  </si>
  <si>
    <t>랜드로버</t>
    <phoneticPr fontId="14" type="noConversion"/>
  </si>
  <si>
    <t>도요타&amp;렉서스</t>
    <phoneticPr fontId="14" type="noConversion"/>
  </si>
  <si>
    <t>크라이슬러</t>
    <phoneticPr fontId="14" type="noConversion"/>
  </si>
  <si>
    <t>푸조</t>
    <phoneticPr fontId="14" type="noConversion"/>
  </si>
  <si>
    <t>캐딜락</t>
    <phoneticPr fontId="14" type="noConversion"/>
  </si>
  <si>
    <t>혼다</t>
    <phoneticPr fontId="14" type="noConversion"/>
  </si>
  <si>
    <t>기타</t>
    <phoneticPr fontId="14" type="noConversion"/>
  </si>
  <si>
    <t>크레인</t>
    <phoneticPr fontId="14" type="noConversion"/>
  </si>
  <si>
    <t>쌍용</t>
    <phoneticPr fontId="14" type="noConversion"/>
  </si>
  <si>
    <t>GM KOREA</t>
    <phoneticPr fontId="14" type="noConversion"/>
  </si>
  <si>
    <t>르노삼성</t>
    <phoneticPr fontId="14" type="noConversion"/>
  </si>
  <si>
    <t>두산</t>
    <phoneticPr fontId="14" type="noConversion"/>
  </si>
  <si>
    <t>현대</t>
    <phoneticPr fontId="14" type="noConversion"/>
  </si>
  <si>
    <t>승
용</t>
    <phoneticPr fontId="14" type="noConversion"/>
  </si>
  <si>
    <t>상              용</t>
    <phoneticPr fontId="14" type="noConversion"/>
  </si>
  <si>
    <t>상   용</t>
    <phoneticPr fontId="14" type="noConversion"/>
  </si>
  <si>
    <t xml:space="preserve">승
용
</t>
    <phoneticPr fontId="14" type="noConversion"/>
  </si>
  <si>
    <t>중 고 차</t>
    <phoneticPr fontId="14" type="noConversion"/>
  </si>
  <si>
    <t>개품화물</t>
    <phoneticPr fontId="14" type="noConversion"/>
  </si>
  <si>
    <t>개품화물</t>
    <phoneticPr fontId="14" type="noConversion"/>
  </si>
  <si>
    <t xml:space="preserve">기타 </t>
    <phoneticPr fontId="14" type="noConversion"/>
  </si>
  <si>
    <t>소계</t>
    <phoneticPr fontId="14" type="noConversion"/>
  </si>
  <si>
    <t xml:space="preserve"> 미쓰비씨</t>
    <phoneticPr fontId="14" type="noConversion"/>
  </si>
  <si>
    <t>타타대우</t>
    <phoneticPr fontId="14" type="noConversion"/>
  </si>
  <si>
    <t>2013년 자동차 선적현황</t>
    <phoneticPr fontId="14" type="noConversion"/>
  </si>
  <si>
    <t>2014년 자동차 선적현황</t>
    <phoneticPr fontId="14" type="noConversion"/>
  </si>
  <si>
    <t>랜드로버</t>
    <phoneticPr fontId="14" type="noConversion"/>
  </si>
  <si>
    <t>볼보트럭</t>
    <phoneticPr fontId="14" type="noConversion"/>
  </si>
  <si>
    <t>신중장비</t>
    <phoneticPr fontId="14" type="noConversion"/>
  </si>
  <si>
    <t>중고중장비</t>
    <phoneticPr fontId="14" type="noConversion"/>
  </si>
  <si>
    <t>2015년 자동차 선적현황</t>
    <phoneticPr fontId="14" type="noConversion"/>
  </si>
  <si>
    <t>총계(a+b+c)</t>
    <phoneticPr fontId="14" type="noConversion"/>
  </si>
  <si>
    <t>2017년 자동차 선적현황</t>
    <phoneticPr fontId="14" type="noConversion"/>
  </si>
  <si>
    <t>2016년 자동차 선적현황</t>
    <phoneticPr fontId="14" type="noConversion"/>
  </si>
  <si>
    <t>2월</t>
    <phoneticPr fontId="14" type="noConversion"/>
  </si>
  <si>
    <t>합  계</t>
    <phoneticPr fontId="14" type="noConversion"/>
  </si>
  <si>
    <t>벤츠트럭</t>
    <phoneticPr fontId="14" type="noConversion"/>
  </si>
  <si>
    <t>계(b)</t>
    <phoneticPr fontId="14" type="noConversion"/>
  </si>
  <si>
    <t>2018년 자동차 선적현황</t>
    <phoneticPr fontId="14" type="noConversion"/>
  </si>
  <si>
    <t>2019년 자동차 선적현황</t>
    <phoneticPr fontId="14" type="noConversion"/>
  </si>
  <si>
    <t>2월</t>
    <phoneticPr fontId="14" type="noConversion"/>
  </si>
  <si>
    <t>기타</t>
    <phoneticPr fontId="14" type="noConversion"/>
  </si>
  <si>
    <t>2020년 자동차 선적현황</t>
    <phoneticPr fontId="14" type="noConversion"/>
  </si>
  <si>
    <t>2021년 자동차 선적현황</t>
    <phoneticPr fontId="14" type="noConversion"/>
  </si>
  <si>
    <t>중 고 차</t>
    <phoneticPr fontId="14" type="noConversion"/>
  </si>
  <si>
    <t>도요타&amp;렉서스</t>
    <phoneticPr fontId="14" type="noConversion"/>
  </si>
  <si>
    <t>2022년 자동차 선적현황</t>
  </si>
  <si>
    <t>2023년 자동차 선적현황</t>
    <phoneticPr fontId="14" type="noConversion"/>
  </si>
  <si>
    <t>-</t>
    <phoneticPr fontId="14" type="noConversion"/>
  </si>
  <si>
    <t>2024년 자동차 선적현황</t>
    <phoneticPr fontId="14" type="noConversion"/>
  </si>
  <si>
    <t xml:space="preserve">기타 </t>
    <phoneticPr fontId="14" type="noConversion"/>
  </si>
  <si>
    <t>T/S(c)</t>
    <phoneticPr fontId="14" type="noConversion"/>
  </si>
  <si>
    <t>합  계(a+b)</t>
    <phoneticPr fontId="14" type="noConversion"/>
  </si>
  <si>
    <t>계(b)</t>
    <phoneticPr fontId="14" type="noConversion"/>
  </si>
  <si>
    <t>소계</t>
    <phoneticPr fontId="14" type="noConversion"/>
  </si>
  <si>
    <t>볼보트럭</t>
    <phoneticPr fontId="14" type="noConversion"/>
  </si>
  <si>
    <t>벤츠트럭</t>
    <phoneticPr fontId="14" type="noConversion"/>
  </si>
  <si>
    <t xml:space="preserve"> 미쓰비씨</t>
    <phoneticPr fontId="14" type="noConversion"/>
  </si>
  <si>
    <t xml:space="preserve">승
용
</t>
    <phoneticPr fontId="14" type="noConversion"/>
  </si>
  <si>
    <t>두산</t>
    <phoneticPr fontId="14" type="noConversion"/>
  </si>
  <si>
    <t>GM KOREA</t>
    <phoneticPr fontId="14" type="noConversion"/>
  </si>
  <si>
    <t>KG모빌리티</t>
    <phoneticPr fontId="14" type="noConversion"/>
  </si>
  <si>
    <t>승
용</t>
    <phoneticPr fontId="14" type="noConversion"/>
  </si>
  <si>
    <t>수
출
차</t>
    <phoneticPr fontId="14" type="noConversion"/>
  </si>
  <si>
    <t>합  계</t>
    <phoneticPr fontId="14" type="noConversion"/>
  </si>
  <si>
    <t>2월</t>
    <phoneticPr fontId="14" type="noConversion"/>
  </si>
  <si>
    <t>1월</t>
    <phoneticPr fontId="14" type="noConversion"/>
  </si>
  <si>
    <t>구  분</t>
    <phoneticPr fontId="14" type="noConversion"/>
  </si>
  <si>
    <t>2025년 자동차 선적현황</t>
    <phoneticPr fontId="14" type="noConversion"/>
  </si>
  <si>
    <t>총  계(a+b+c)</t>
    <phoneticPr fontId="14" type="noConversion"/>
  </si>
  <si>
    <t xml:space="preserve">기타 </t>
    <phoneticPr fontId="14" type="noConversion"/>
  </si>
  <si>
    <t>T/S(c)</t>
    <phoneticPr fontId="14" type="noConversion"/>
  </si>
  <si>
    <t>합  계(a+b)</t>
    <phoneticPr fontId="14" type="noConversion"/>
  </si>
  <si>
    <t>계(b)</t>
    <phoneticPr fontId="14" type="noConversion"/>
  </si>
  <si>
    <t>개품화물</t>
    <phoneticPr fontId="14" type="noConversion"/>
  </si>
  <si>
    <t>소계</t>
    <phoneticPr fontId="14" type="noConversion"/>
  </si>
  <si>
    <t>기타</t>
    <phoneticPr fontId="14" type="noConversion"/>
  </si>
  <si>
    <t>볼보트럭</t>
    <phoneticPr fontId="14" type="noConversion"/>
  </si>
  <si>
    <t>만트럭</t>
    <phoneticPr fontId="14" type="noConversion"/>
  </si>
  <si>
    <t>벤츠트럭</t>
    <phoneticPr fontId="14" type="noConversion"/>
  </si>
  <si>
    <t>상   용</t>
    <phoneticPr fontId="14" type="noConversion"/>
  </si>
  <si>
    <t xml:space="preserve"> 미쓰비씨</t>
    <phoneticPr fontId="14" type="noConversion"/>
  </si>
  <si>
    <t>혼다</t>
    <phoneticPr fontId="14" type="noConversion"/>
  </si>
  <si>
    <t>캐딜락</t>
    <phoneticPr fontId="14" type="noConversion"/>
  </si>
  <si>
    <t>푸조</t>
    <phoneticPr fontId="14" type="noConversion"/>
  </si>
  <si>
    <t>크라이슬러</t>
    <phoneticPr fontId="14" type="noConversion"/>
  </si>
  <si>
    <t>도요타&amp;렉서스</t>
    <phoneticPr fontId="14" type="noConversion"/>
  </si>
  <si>
    <t>볼보</t>
    <phoneticPr fontId="14" type="noConversion"/>
  </si>
  <si>
    <t>포르쉐</t>
    <phoneticPr fontId="14" type="noConversion"/>
  </si>
  <si>
    <t>닛산</t>
    <phoneticPr fontId="14" type="noConversion"/>
  </si>
  <si>
    <t>랜드로버</t>
    <phoneticPr fontId="14" type="noConversion"/>
  </si>
  <si>
    <t>재규어</t>
    <phoneticPr fontId="14" type="noConversion"/>
  </si>
  <si>
    <t>포드</t>
    <phoneticPr fontId="14" type="noConversion"/>
  </si>
  <si>
    <t>폭스바겐</t>
    <phoneticPr fontId="14" type="noConversion"/>
  </si>
  <si>
    <t>아우디</t>
    <phoneticPr fontId="14" type="noConversion"/>
  </si>
  <si>
    <t>벤츠</t>
    <phoneticPr fontId="14" type="noConversion"/>
  </si>
  <si>
    <t>BMW</t>
    <phoneticPr fontId="14" type="noConversion"/>
  </si>
  <si>
    <t xml:space="preserve">승
용
</t>
    <phoneticPr fontId="14" type="noConversion"/>
  </si>
  <si>
    <t>수
입
차</t>
    <phoneticPr fontId="14" type="noConversion"/>
  </si>
  <si>
    <t>계(a)</t>
    <phoneticPr fontId="14" type="noConversion"/>
  </si>
  <si>
    <t>중 고 차</t>
    <phoneticPr fontId="14" type="noConversion"/>
  </si>
  <si>
    <t>소  계</t>
    <phoneticPr fontId="14" type="noConversion"/>
  </si>
  <si>
    <t>신중장비</t>
    <phoneticPr fontId="14" type="noConversion"/>
  </si>
  <si>
    <t>중고중장비</t>
    <phoneticPr fontId="14" type="noConversion"/>
  </si>
  <si>
    <t>타타대우</t>
    <phoneticPr fontId="14" type="noConversion"/>
  </si>
  <si>
    <t>현대</t>
    <phoneticPr fontId="14" type="noConversion"/>
  </si>
  <si>
    <t>두산</t>
    <phoneticPr fontId="14" type="noConversion"/>
  </si>
  <si>
    <t>상              용</t>
    <phoneticPr fontId="14" type="noConversion"/>
  </si>
  <si>
    <t>르노삼성</t>
    <phoneticPr fontId="14" type="noConversion"/>
  </si>
  <si>
    <t>GM KOREA</t>
    <phoneticPr fontId="14" type="noConversion"/>
  </si>
  <si>
    <t>쌍용</t>
    <phoneticPr fontId="14" type="noConversion"/>
  </si>
  <si>
    <t>기아</t>
    <phoneticPr fontId="14" type="noConversion"/>
  </si>
  <si>
    <t>승
용</t>
    <phoneticPr fontId="14" type="noConversion"/>
  </si>
  <si>
    <t>수
출
차</t>
    <phoneticPr fontId="14" type="noConversion"/>
  </si>
  <si>
    <t>합  계</t>
    <phoneticPr fontId="14" type="noConversion"/>
  </si>
  <si>
    <t>2월</t>
    <phoneticPr fontId="14" type="noConversion"/>
  </si>
  <si>
    <t>1월</t>
    <phoneticPr fontId="14" type="noConversion"/>
  </si>
  <si>
    <t>구  분</t>
    <phoneticPr fontId="14" type="noConversion"/>
  </si>
  <si>
    <t>2024년 자동차 선적현황</t>
    <phoneticPr fontId="14" type="noConversion"/>
  </si>
  <si>
    <t>2026년 자동차 선적현황</t>
    <phoneticPr fontId="1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</si>
</sst>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43" formatCode="_-* #,##0.00_-;\-* #,##0.00_-;_-* &quot;-&quot;??_-;_-@_-"/>
    <numFmt numFmtId="176" formatCode="#,##0_ "/>
    <numFmt numFmtId="177" formatCode="#,##0_);[Red]\(#,##0\)"/>
  </numFmts>
  <fonts count="22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1"/>
      <name val="돋움"/>
      <family val="3"/>
      <charset val="129"/>
    </font>
    <font>
      <b/>
      <sz val="18"/>
      <name val="돋움"/>
      <family val="3"/>
      <charset val="129"/>
    </font>
    <font>
      <b/>
      <sz val="11"/>
      <name val="굴림체"/>
      <family val="3"/>
      <charset val="129"/>
    </font>
    <font>
      <sz val="11"/>
      <name val="굴림체"/>
      <family val="3"/>
      <charset val="129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5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theme="0" tint="-0.499984740745262"/>
      </bottom>
      <diagonal/>
    </border>
  </borders>
  <cellStyleXfs count="808">
    <xf numFmtId="0" fontId="0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43" fontId="19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3" fontId="1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38">
    <xf numFmtId="0" fontId="0" fillId="0" borderId="0" xfId="0">
      <alignment vertical="center"/>
    </xf>
    <xf numFmtId="0" fontId="18" fillId="0" borderId="1" xfId="0" applyFont="1" applyBorder="1" applyAlignment="1">
      <alignment horizontal="center" vertical="center"/>
    </xf>
    <xf numFmtId="0" fontId="15" fillId="0" borderId="0" xfId="0" applyFont="1">
      <alignment vertical="center"/>
    </xf>
    <xf numFmtId="0" fontId="17" fillId="0" borderId="1" xfId="0" applyFont="1" applyFill="1" applyBorder="1" applyAlignment="1">
      <alignment horizontal="center" vertical="center"/>
    </xf>
    <xf numFmtId="176" fontId="18" fillId="0" borderId="1" xfId="0" applyNumberFormat="1" applyFont="1" applyBorder="1" applyAlignment="1">
      <alignment horizontal="right" vertical="center"/>
    </xf>
    <xf numFmtId="176" fontId="17" fillId="0" borderId="1" xfId="0" applyNumberFormat="1" applyFont="1" applyFill="1" applyBorder="1" applyAlignment="1">
      <alignment horizontal="right" vertical="center"/>
    </xf>
    <xf numFmtId="176" fontId="17" fillId="2" borderId="1" xfId="0" applyNumberFormat="1" applyFont="1" applyFill="1" applyBorder="1" applyAlignment="1">
      <alignment horizontal="right" vertical="center"/>
    </xf>
    <xf numFmtId="176" fontId="17" fillId="3" borderId="1" xfId="0" applyNumberFormat="1" applyFont="1" applyFill="1" applyBorder="1" applyAlignment="1">
      <alignment horizontal="right" vertical="center"/>
    </xf>
    <xf numFmtId="0" fontId="17" fillId="4" borderId="2" xfId="0" applyFont="1" applyFill="1" applyBorder="1" applyAlignment="1">
      <alignment horizontal="center" vertical="center"/>
    </xf>
    <xf numFmtId="0" fontId="17" fillId="4" borderId="3" xfId="0" applyFont="1" applyFill="1" applyBorder="1" applyAlignment="1">
      <alignment horizontal="center" vertical="center"/>
    </xf>
    <xf numFmtId="176" fontId="17" fillId="5" borderId="4" xfId="0" applyNumberFormat="1" applyFont="1" applyFill="1" applyBorder="1" applyAlignment="1">
      <alignment horizontal="right" vertical="center"/>
    </xf>
    <xf numFmtId="176" fontId="17" fillId="0" borderId="5" xfId="0" applyNumberFormat="1" applyFont="1" applyBorder="1" applyAlignment="1">
      <alignment vertical="center"/>
    </xf>
    <xf numFmtId="176" fontId="17" fillId="3" borderId="5" xfId="0" applyNumberFormat="1" applyFont="1" applyFill="1" applyBorder="1" applyAlignment="1">
      <alignment vertical="center"/>
    </xf>
    <xf numFmtId="176" fontId="17" fillId="2" borderId="5" xfId="0" applyNumberFormat="1" applyFont="1" applyFill="1" applyBorder="1" applyAlignment="1">
      <alignment vertical="center"/>
    </xf>
    <xf numFmtId="176" fontId="17" fillId="5" borderId="6" xfId="0" applyNumberFormat="1" applyFont="1" applyFill="1" applyBorder="1" applyAlignment="1">
      <alignment vertical="center"/>
    </xf>
    <xf numFmtId="0" fontId="18" fillId="0" borderId="1" xfId="0" applyFont="1" applyFill="1" applyBorder="1" applyAlignment="1">
      <alignment horizontal="center" vertical="center"/>
    </xf>
    <xf numFmtId="176" fontId="18" fillId="0" borderId="7" xfId="0" applyNumberFormat="1" applyFont="1" applyBorder="1" applyAlignment="1">
      <alignment horizontal="right" vertical="center"/>
    </xf>
    <xf numFmtId="176" fontId="17" fillId="0" borderId="8" xfId="0" applyNumberFormat="1" applyFont="1" applyBorder="1" applyAlignment="1">
      <alignment vertical="center"/>
    </xf>
    <xf numFmtId="176" fontId="18" fillId="0" borderId="1" xfId="0" applyNumberFormat="1" applyFont="1" applyFill="1" applyBorder="1" applyAlignment="1">
      <alignment horizontal="right" vertical="center"/>
    </xf>
    <xf numFmtId="0" fontId="17" fillId="0" borderId="1" xfId="0" applyFont="1" applyBorder="1" applyAlignment="1">
      <alignment horizontal="center" vertical="center"/>
    </xf>
    <xf numFmtId="176" fontId="17" fillId="0" borderId="1" xfId="0" applyNumberFormat="1" applyFont="1" applyBorder="1" applyAlignment="1">
      <alignment horizontal="right" vertical="center"/>
    </xf>
    <xf numFmtId="176" fontId="17" fillId="5" borderId="4" xfId="0" applyNumberFormat="1" applyFont="1" applyFill="1" applyBorder="1" applyAlignment="1">
      <alignment horizontal="right" vertical="center"/>
    </xf>
    <xf numFmtId="41" fontId="18" fillId="0" borderId="1" xfId="1" applyFont="1" applyBorder="1" applyAlignment="1">
      <alignment horizontal="right" vertical="center"/>
    </xf>
    <xf numFmtId="41" fontId="17" fillId="0" borderId="1" xfId="1" applyFont="1" applyFill="1" applyBorder="1" applyAlignment="1">
      <alignment horizontal="right" vertical="center"/>
    </xf>
    <xf numFmtId="41" fontId="17" fillId="2" borderId="1" xfId="1" applyFont="1" applyFill="1" applyBorder="1" applyAlignment="1">
      <alignment horizontal="right" vertical="center"/>
    </xf>
    <xf numFmtId="41" fontId="17" fillId="0" borderId="1" xfId="1" applyFont="1" applyBorder="1" applyAlignment="1">
      <alignment horizontal="right" vertical="center"/>
    </xf>
    <xf numFmtId="41" fontId="17" fillId="3" borderId="1" xfId="1" applyFont="1" applyFill="1" applyBorder="1" applyAlignment="1">
      <alignment horizontal="right" vertical="center"/>
    </xf>
    <xf numFmtId="0" fontId="18" fillId="0" borderId="1" xfId="0" applyFont="1" applyBorder="1" applyAlignment="1">
      <alignment horizontal="center" vertical="center"/>
    </xf>
    <xf numFmtId="0" fontId="17" fillId="4" borderId="2" xfId="0" applyFont="1" applyFill="1" applyBorder="1" applyAlignment="1">
      <alignment horizontal="center" vertical="center"/>
    </xf>
    <xf numFmtId="176" fontId="0" fillId="0" borderId="0" xfId="0" applyNumberFormat="1">
      <alignment vertical="center"/>
    </xf>
    <xf numFmtId="0" fontId="18" fillId="0" borderId="1" xfId="0" applyFont="1" applyBorder="1" applyAlignment="1">
      <alignment horizontal="center" vertical="center"/>
    </xf>
    <xf numFmtId="0" fontId="17" fillId="4" borderId="2" xfId="0" applyFont="1" applyFill="1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0" fontId="17" fillId="4" borderId="2" xfId="0" applyFont="1" applyFill="1" applyBorder="1" applyAlignment="1">
      <alignment horizontal="center" vertical="center"/>
    </xf>
    <xf numFmtId="0" fontId="0" fillId="0" borderId="15" xfId="0" applyBorder="1">
      <alignment vertical="center"/>
    </xf>
    <xf numFmtId="0" fontId="0" fillId="0" borderId="1" xfId="0" applyBorder="1">
      <alignment vertical="center"/>
    </xf>
    <xf numFmtId="176" fontId="18" fillId="0" borderId="12" xfId="0" applyNumberFormat="1" applyFont="1" applyFill="1" applyBorder="1" applyAlignment="1">
      <alignment horizontal="right" vertical="center"/>
    </xf>
    <xf numFmtId="0" fontId="18" fillId="0" borderId="1" xfId="0" applyFont="1" applyBorder="1" applyAlignment="1">
      <alignment horizontal="center" vertical="center"/>
    </xf>
    <xf numFmtId="0" fontId="17" fillId="4" borderId="2" xfId="0" applyFont="1" applyFill="1" applyBorder="1" applyAlignment="1">
      <alignment horizontal="center" vertical="center"/>
    </xf>
    <xf numFmtId="0" fontId="17" fillId="4" borderId="2" xfId="0" applyFont="1" applyFill="1" applyBorder="1" applyAlignment="1">
      <alignment horizontal="center" vertical="center"/>
    </xf>
    <xf numFmtId="41" fontId="17" fillId="0" borderId="1" xfId="0" applyNumberFormat="1" applyFont="1" applyFill="1" applyBorder="1" applyAlignment="1">
      <alignment horizontal="right" vertical="center"/>
    </xf>
    <xf numFmtId="41" fontId="18" fillId="0" borderId="1" xfId="0" applyNumberFormat="1" applyFont="1" applyFill="1" applyBorder="1" applyAlignment="1">
      <alignment horizontal="right" vertical="center"/>
    </xf>
    <xf numFmtId="41" fontId="18" fillId="0" borderId="1" xfId="0" applyNumberFormat="1" applyFont="1" applyBorder="1" applyAlignment="1">
      <alignment horizontal="right" vertical="center"/>
    </xf>
    <xf numFmtId="41" fontId="17" fillId="2" borderId="1" xfId="0" applyNumberFormat="1" applyFont="1" applyFill="1" applyBorder="1" applyAlignment="1">
      <alignment horizontal="right" vertical="center"/>
    </xf>
    <xf numFmtId="41" fontId="0" fillId="0" borderId="1" xfId="0" applyNumberFormat="1" applyBorder="1">
      <alignment vertical="center"/>
    </xf>
    <xf numFmtId="41" fontId="17" fillId="0" borderId="1" xfId="0" applyNumberFormat="1" applyFont="1" applyBorder="1" applyAlignment="1">
      <alignment horizontal="right" vertical="center"/>
    </xf>
    <xf numFmtId="41" fontId="17" fillId="3" borderId="1" xfId="0" applyNumberFormat="1" applyFont="1" applyFill="1" applyBorder="1" applyAlignment="1">
      <alignment horizontal="right" vertical="center"/>
    </xf>
    <xf numFmtId="41" fontId="18" fillId="0" borderId="7" xfId="0" applyNumberFormat="1" applyFont="1" applyBorder="1" applyAlignment="1">
      <alignment horizontal="right" vertical="center"/>
    </xf>
    <xf numFmtId="41" fontId="17" fillId="5" borderId="4" xfId="0" applyNumberFormat="1" applyFont="1" applyFill="1" applyBorder="1" applyAlignment="1">
      <alignment horizontal="right" vertical="center"/>
    </xf>
    <xf numFmtId="41" fontId="0" fillId="0" borderId="15" xfId="0" applyNumberFormat="1" applyBorder="1">
      <alignment vertical="center"/>
    </xf>
    <xf numFmtId="41" fontId="18" fillId="0" borderId="12" xfId="0" applyNumberFormat="1" applyFont="1" applyFill="1" applyBorder="1" applyAlignment="1">
      <alignment horizontal="right" vertical="center"/>
    </xf>
    <xf numFmtId="0" fontId="18" fillId="0" borderId="1" xfId="0" applyFont="1" applyBorder="1" applyAlignment="1">
      <alignment horizontal="center" vertical="center"/>
    </xf>
    <xf numFmtId="0" fontId="17" fillId="4" borderId="2" xfId="0" applyFont="1" applyFill="1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0" fontId="17" fillId="4" borderId="2" xfId="0" applyFont="1" applyFill="1" applyBorder="1" applyAlignment="1">
      <alignment horizontal="center" vertical="center"/>
    </xf>
    <xf numFmtId="41" fontId="18" fillId="0" borderId="1" xfId="0" applyNumberFormat="1" applyFont="1" applyBorder="1" applyAlignment="1">
      <alignment vertical="center"/>
    </xf>
    <xf numFmtId="176" fontId="18" fillId="0" borderId="1" xfId="0" applyNumberFormat="1" applyFont="1" applyFill="1" applyBorder="1" applyAlignment="1">
      <alignment horizontal="right" vertical="center"/>
    </xf>
    <xf numFmtId="41" fontId="18" fillId="0" borderId="1" xfId="0" applyNumberFormat="1" applyFont="1" applyFill="1" applyBorder="1" applyAlignment="1">
      <alignment horizontal="right" vertical="center"/>
    </xf>
    <xf numFmtId="176" fontId="18" fillId="0" borderId="1" xfId="0" applyNumberFormat="1" applyFont="1" applyBorder="1" applyAlignment="1">
      <alignment horizontal="right" vertical="center"/>
    </xf>
    <xf numFmtId="176" fontId="18" fillId="0" borderId="1" xfId="0" applyNumberFormat="1" applyFont="1" applyFill="1" applyBorder="1" applyAlignment="1">
      <alignment horizontal="right" vertical="center"/>
    </xf>
    <xf numFmtId="176" fontId="18" fillId="0" borderId="1" xfId="0" applyNumberFormat="1" applyFont="1" applyBorder="1" applyAlignment="1">
      <alignment horizontal="right" vertical="center"/>
    </xf>
    <xf numFmtId="41" fontId="18" fillId="0" borderId="1" xfId="0" applyNumberFormat="1" applyFont="1" applyBorder="1" applyAlignment="1">
      <alignment horizontal="right" vertical="center"/>
    </xf>
    <xf numFmtId="41" fontId="0" fillId="0" borderId="1" xfId="0" applyNumberFormat="1" applyBorder="1">
      <alignment vertical="center"/>
    </xf>
    <xf numFmtId="41" fontId="18" fillId="0" borderId="1" xfId="0" applyNumberFormat="1" applyFont="1" applyBorder="1" applyAlignment="1">
      <alignment vertical="center"/>
    </xf>
    <xf numFmtId="176" fontId="18" fillId="0" borderId="1" xfId="0" applyNumberFormat="1" applyFont="1" applyBorder="1" applyAlignment="1">
      <alignment horizontal="right" vertical="center"/>
    </xf>
    <xf numFmtId="0" fontId="0" fillId="0" borderId="0" xfId="0" applyFont="1">
      <alignment vertical="center"/>
    </xf>
    <xf numFmtId="41" fontId="18" fillId="0" borderId="1" xfId="1" applyFont="1" applyFill="1" applyBorder="1" applyAlignment="1">
      <alignment horizontal="right" vertical="center"/>
    </xf>
    <xf numFmtId="41" fontId="17" fillId="0" borderId="5" xfId="1" applyFont="1" applyBorder="1" applyAlignment="1">
      <alignment vertical="center"/>
    </xf>
    <xf numFmtId="41" fontId="17" fillId="2" borderId="5" xfId="1" applyFont="1" applyFill="1" applyBorder="1" applyAlignment="1">
      <alignment vertical="center"/>
    </xf>
    <xf numFmtId="41" fontId="18" fillId="0" borderId="1" xfId="1" applyFont="1" applyBorder="1" applyAlignment="1">
      <alignment vertical="center"/>
    </xf>
    <xf numFmtId="41" fontId="0" fillId="0" borderId="1" xfId="1" applyFont="1" applyBorder="1">
      <alignment vertical="center"/>
    </xf>
    <xf numFmtId="41" fontId="0" fillId="0" borderId="15" xfId="1" applyFont="1" applyBorder="1">
      <alignment vertical="center"/>
    </xf>
    <xf numFmtId="41" fontId="18" fillId="0" borderId="12" xfId="1" applyFont="1" applyFill="1" applyBorder="1" applyAlignment="1">
      <alignment horizontal="right" vertical="center"/>
    </xf>
    <xf numFmtId="41" fontId="17" fillId="3" borderId="5" xfId="1" applyFont="1" applyFill="1" applyBorder="1" applyAlignment="1">
      <alignment vertical="center"/>
    </xf>
    <xf numFmtId="41" fontId="18" fillId="0" borderId="7" xfId="1" applyFont="1" applyBorder="1" applyAlignment="1">
      <alignment horizontal="right" vertical="center"/>
    </xf>
    <xf numFmtId="41" fontId="17" fillId="0" borderId="8" xfId="1" applyFont="1" applyBorder="1" applyAlignment="1">
      <alignment vertical="center"/>
    </xf>
    <xf numFmtId="41" fontId="17" fillId="5" borderId="4" xfId="1" applyFont="1" applyFill="1" applyBorder="1" applyAlignment="1">
      <alignment horizontal="right" vertical="center"/>
    </xf>
    <xf numFmtId="41" fontId="17" fillId="5" borderId="6" xfId="1" applyFont="1" applyFill="1" applyBorder="1" applyAlignment="1">
      <alignment vertical="center"/>
    </xf>
    <xf numFmtId="0" fontId="18" fillId="0" borderId="1" xfId="0" applyFont="1" applyBorder="1" applyAlignment="1">
      <alignment horizontal="center" vertical="center"/>
    </xf>
    <xf numFmtId="0" fontId="17" fillId="4" borderId="2" xfId="0" applyFont="1" applyFill="1" applyBorder="1" applyAlignment="1">
      <alignment horizontal="center" vertical="center"/>
    </xf>
    <xf numFmtId="41" fontId="0" fillId="0" borderId="0" xfId="0" applyNumberFormat="1">
      <alignment vertical="center"/>
    </xf>
    <xf numFmtId="0" fontId="18" fillId="0" borderId="1" xfId="0" applyFont="1" applyBorder="1" applyAlignment="1">
      <alignment horizontal="center" vertical="center"/>
    </xf>
    <xf numFmtId="0" fontId="17" fillId="4" borderId="2" xfId="0" applyFont="1" applyFill="1" applyBorder="1" applyAlignment="1">
      <alignment horizontal="center" vertical="center"/>
    </xf>
    <xf numFmtId="41" fontId="18" fillId="0" borderId="1" xfId="1" applyFont="1" applyBorder="1" applyAlignment="1">
      <alignment horizontal="right" vertical="center"/>
    </xf>
    <xf numFmtId="41" fontId="18" fillId="0" borderId="1" xfId="1" applyFont="1" applyFill="1" applyBorder="1" applyAlignment="1">
      <alignment horizontal="right" vertical="center"/>
    </xf>
    <xf numFmtId="41" fontId="18" fillId="0" borderId="1" xfId="1" applyFont="1" applyFill="1" applyBorder="1" applyAlignment="1">
      <alignment horizontal="right" vertical="center"/>
    </xf>
    <xf numFmtId="41" fontId="18" fillId="0" borderId="1" xfId="1" applyFont="1" applyFill="1" applyBorder="1" applyAlignment="1">
      <alignment horizontal="right" vertical="center"/>
    </xf>
    <xf numFmtId="41" fontId="18" fillId="0" borderId="1" xfId="1" applyFont="1" applyBorder="1" applyAlignment="1">
      <alignment horizontal="right" vertical="center"/>
    </xf>
    <xf numFmtId="41" fontId="18" fillId="0" borderId="1" xfId="1" applyFont="1" applyBorder="1" applyAlignment="1">
      <alignment horizontal="right" vertical="center"/>
    </xf>
    <xf numFmtId="41" fontId="18" fillId="0" borderId="1" xfId="1" applyFont="1" applyBorder="1" applyAlignment="1">
      <alignment horizontal="right" vertical="center"/>
    </xf>
    <xf numFmtId="41" fontId="18" fillId="0" borderId="7" xfId="1" applyFont="1" applyBorder="1" applyAlignment="1">
      <alignment horizontal="right" vertical="center"/>
    </xf>
    <xf numFmtId="177" fontId="18" fillId="0" borderId="1" xfId="1" applyNumberFormat="1" applyFont="1" applyFill="1" applyBorder="1" applyAlignment="1">
      <alignment horizontal="right" vertical="center"/>
    </xf>
    <xf numFmtId="177" fontId="17" fillId="0" borderId="1" xfId="1" applyNumberFormat="1" applyFont="1" applyFill="1" applyBorder="1" applyAlignment="1">
      <alignment horizontal="right" vertical="center"/>
    </xf>
    <xf numFmtId="177" fontId="17" fillId="2" borderId="1" xfId="1" applyNumberFormat="1" applyFont="1" applyFill="1" applyBorder="1" applyAlignment="1">
      <alignment horizontal="right" vertical="center"/>
    </xf>
    <xf numFmtId="177" fontId="17" fillId="0" borderId="1" xfId="1" applyNumberFormat="1" applyFont="1" applyBorder="1" applyAlignment="1">
      <alignment horizontal="right" vertical="center"/>
    </xf>
    <xf numFmtId="177" fontId="17" fillId="3" borderId="1" xfId="1" applyNumberFormat="1" applyFont="1" applyFill="1" applyBorder="1" applyAlignment="1">
      <alignment horizontal="right" vertical="center"/>
    </xf>
    <xf numFmtId="177" fontId="17" fillId="5" borderId="4" xfId="1" applyNumberFormat="1" applyFont="1" applyFill="1" applyBorder="1" applyAlignment="1">
      <alignment horizontal="right" vertical="center"/>
    </xf>
    <xf numFmtId="0" fontId="18" fillId="0" borderId="1" xfId="0" applyFont="1" applyBorder="1" applyAlignment="1">
      <alignment horizontal="center" vertical="center"/>
    </xf>
    <xf numFmtId="0" fontId="17" fillId="4" borderId="2" xfId="0" applyFont="1" applyFill="1" applyBorder="1" applyAlignment="1">
      <alignment horizontal="center" vertical="center"/>
    </xf>
    <xf numFmtId="41" fontId="18" fillId="0" borderId="7" xfId="21" applyFont="1" applyBorder="1" applyAlignment="1">
      <alignment horizontal="right" vertical="center"/>
    </xf>
    <xf numFmtId="41" fontId="18" fillId="0" borderId="1" xfId="21" applyFont="1" applyBorder="1" applyAlignment="1">
      <alignment horizontal="right" vertical="center"/>
    </xf>
    <xf numFmtId="41" fontId="18" fillId="0" borderId="12" xfId="21" applyFont="1" applyFill="1" applyBorder="1" applyAlignment="1">
      <alignment horizontal="right" vertical="center"/>
    </xf>
    <xf numFmtId="41" fontId="18" fillId="0" borderId="1" xfId="21" applyFont="1" applyBorder="1" applyAlignment="1">
      <alignment vertical="center"/>
    </xf>
    <xf numFmtId="41" fontId="18" fillId="0" borderId="1" xfId="21" applyFont="1" applyFill="1" applyBorder="1" applyAlignment="1">
      <alignment horizontal="right" vertical="center"/>
    </xf>
    <xf numFmtId="41" fontId="19" fillId="0" borderId="1" xfId="1" applyFont="1" applyBorder="1">
      <alignment vertical="center"/>
    </xf>
    <xf numFmtId="41" fontId="20" fillId="0" borderId="31" xfId="22" applyFont="1" applyBorder="1">
      <alignment vertical="center"/>
    </xf>
    <xf numFmtId="41" fontId="18" fillId="0" borderId="1" xfId="1" applyFont="1" applyBorder="1" applyAlignment="1">
      <alignment horizontal="right" vertical="center" wrapText="1"/>
    </xf>
    <xf numFmtId="41" fontId="20" fillId="0" borderId="12" xfId="22" applyFont="1" applyBorder="1">
      <alignment vertical="center"/>
    </xf>
    <xf numFmtId="41" fontId="18" fillId="0" borderId="1" xfId="1" applyFont="1" applyBorder="1" applyAlignment="1">
      <alignment horizontal="right" vertical="center"/>
    </xf>
    <xf numFmtId="41" fontId="20" fillId="0" borderId="31" xfId="71" applyFont="1" applyBorder="1">
      <alignment vertical="center"/>
    </xf>
    <xf numFmtId="41" fontId="21" fillId="0" borderId="31" xfId="71" applyFont="1" applyBorder="1">
      <alignment vertical="center"/>
    </xf>
    <xf numFmtId="41" fontId="18" fillId="0" borderId="1" xfId="1" applyFont="1" applyFill="1" applyBorder="1" applyAlignment="1">
      <alignment horizontal="right" vertical="center"/>
    </xf>
    <xf numFmtId="41" fontId="18" fillId="0" borderId="1" xfId="1" applyFont="1" applyFill="1" applyBorder="1" applyAlignment="1">
      <alignment horizontal="right" vertical="center"/>
    </xf>
    <xf numFmtId="41" fontId="18" fillId="0" borderId="1" xfId="1" applyFont="1" applyFill="1" applyBorder="1" applyAlignment="1">
      <alignment horizontal="right" vertical="center"/>
    </xf>
    <xf numFmtId="41" fontId="18" fillId="0" borderId="1" xfId="1" applyFont="1" applyBorder="1" applyAlignment="1">
      <alignment horizontal="right" vertical="center"/>
    </xf>
    <xf numFmtId="41" fontId="18" fillId="0" borderId="1" xfId="1" applyFont="1" applyBorder="1" applyAlignment="1">
      <alignment horizontal="right" vertical="center"/>
    </xf>
    <xf numFmtId="41" fontId="18" fillId="0" borderId="1" xfId="1" applyFont="1" applyBorder="1" applyAlignment="1">
      <alignment horizontal="right" vertical="center"/>
    </xf>
    <xf numFmtId="41" fontId="18" fillId="0" borderId="1" xfId="1" applyFont="1" applyBorder="1" applyAlignment="1">
      <alignment horizontal="right" vertical="center"/>
    </xf>
    <xf numFmtId="41" fontId="18" fillId="0" borderId="1" xfId="1" applyFont="1" applyBorder="1" applyAlignment="1">
      <alignment horizontal="right" vertical="center"/>
    </xf>
    <xf numFmtId="41" fontId="18" fillId="0" borderId="1" xfId="1" applyFont="1" applyBorder="1" applyAlignment="1">
      <alignment horizontal="right" vertical="center"/>
    </xf>
    <xf numFmtId="41" fontId="18" fillId="0" borderId="1" xfId="1" applyFont="1" applyBorder="1" applyAlignment="1">
      <alignment horizontal="right" vertical="center"/>
    </xf>
    <xf numFmtId="41" fontId="18" fillId="0" borderId="1" xfId="1" applyFont="1" applyBorder="1" applyAlignment="1">
      <alignment horizontal="right" vertical="center"/>
    </xf>
    <xf numFmtId="41" fontId="18" fillId="0" borderId="1" xfId="1" applyFont="1" applyBorder="1" applyAlignment="1">
      <alignment horizontal="right" vertical="center"/>
    </xf>
    <xf numFmtId="41" fontId="18" fillId="0" borderId="7" xfId="1" applyFont="1" applyBorder="1" applyAlignment="1">
      <alignment horizontal="right" vertical="center"/>
    </xf>
    <xf numFmtId="41" fontId="18" fillId="0" borderId="1" xfId="1" applyFont="1" applyBorder="1" applyAlignment="1">
      <alignment horizontal="right" vertical="center"/>
    </xf>
    <xf numFmtId="41" fontId="18" fillId="0" borderId="1" xfId="1" applyFont="1" applyFill="1" applyBorder="1" applyAlignment="1">
      <alignment horizontal="right" vertical="center"/>
    </xf>
    <xf numFmtId="41" fontId="18" fillId="0" borderId="1" xfId="1" applyFont="1" applyFill="1" applyBorder="1" applyAlignment="1">
      <alignment horizontal="right" vertical="center"/>
    </xf>
    <xf numFmtId="41" fontId="18" fillId="0" borderId="1" xfId="1" applyFont="1" applyBorder="1" applyAlignment="1">
      <alignment horizontal="right" vertical="center"/>
    </xf>
    <xf numFmtId="41" fontId="18" fillId="0" borderId="1" xfId="1" applyFont="1" applyBorder="1" applyAlignment="1">
      <alignment vertical="center"/>
    </xf>
    <xf numFmtId="41" fontId="18" fillId="0" borderId="1" xfId="1" applyFont="1" applyBorder="1" applyAlignment="1">
      <alignment horizontal="right" vertical="center"/>
    </xf>
    <xf numFmtId="41" fontId="18" fillId="0" borderId="1" xfId="1" applyFont="1" applyBorder="1" applyAlignment="1">
      <alignment horizontal="right" vertical="center"/>
    </xf>
    <xf numFmtId="41" fontId="18" fillId="0" borderId="1" xfId="1" applyFont="1" applyBorder="1" applyAlignment="1">
      <alignment horizontal="right" vertical="center"/>
    </xf>
    <xf numFmtId="41" fontId="18" fillId="0" borderId="7" xfId="1" applyFont="1" applyBorder="1" applyAlignment="1">
      <alignment horizontal="right" vertical="center"/>
    </xf>
    <xf numFmtId="0" fontId="18" fillId="0" borderId="1" xfId="0" applyFont="1" applyBorder="1" applyAlignment="1">
      <alignment horizontal="center" vertical="center"/>
    </xf>
    <xf numFmtId="0" fontId="17" fillId="4" borderId="2" xfId="0" applyFont="1" applyFill="1" applyBorder="1" applyAlignment="1">
      <alignment horizontal="center" vertical="center"/>
    </xf>
    <xf numFmtId="41" fontId="18" fillId="0" borderId="1" xfId="1" applyFont="1" applyBorder="1" applyAlignment="1">
      <alignment horizontal="right" vertical="center"/>
    </xf>
    <xf numFmtId="41" fontId="18" fillId="0" borderId="1" xfId="1" applyFont="1" applyFill="1" applyBorder="1" applyAlignment="1">
      <alignment horizontal="right" vertical="center"/>
    </xf>
    <xf numFmtId="41" fontId="18" fillId="0" borderId="1" xfId="1" applyFont="1" applyBorder="1" applyAlignment="1">
      <alignment horizontal="right" vertical="center"/>
    </xf>
    <xf numFmtId="41" fontId="18" fillId="0" borderId="1" xfId="1" applyFont="1" applyFill="1" applyBorder="1" applyAlignment="1">
      <alignment horizontal="right" vertical="center"/>
    </xf>
    <xf numFmtId="41" fontId="18" fillId="0" borderId="1" xfId="1" applyFont="1" applyBorder="1" applyAlignment="1">
      <alignment horizontal="right" vertical="center"/>
    </xf>
    <xf numFmtId="41" fontId="18" fillId="0" borderId="1" xfId="1" applyFont="1" applyBorder="1" applyAlignment="1">
      <alignment vertical="center"/>
    </xf>
    <xf numFmtId="41" fontId="18" fillId="0" borderId="12" xfId="1" applyFont="1" applyFill="1" applyBorder="1" applyAlignment="1">
      <alignment horizontal="right" vertical="center"/>
    </xf>
    <xf numFmtId="41" fontId="18" fillId="0" borderId="1" xfId="1" applyFont="1" applyBorder="1" applyAlignment="1">
      <alignment horizontal="right" vertical="center"/>
    </xf>
    <xf numFmtId="41" fontId="18" fillId="0" borderId="1" xfId="1" applyFont="1" applyBorder="1" applyAlignment="1">
      <alignment horizontal="right" vertical="center"/>
    </xf>
    <xf numFmtId="41" fontId="18" fillId="0" borderId="1" xfId="1" applyFont="1" applyBorder="1" applyAlignment="1">
      <alignment horizontal="right" vertical="center"/>
    </xf>
    <xf numFmtId="41" fontId="18" fillId="0" borderId="7" xfId="1" applyFont="1" applyBorder="1" applyAlignment="1">
      <alignment horizontal="right" vertical="center"/>
    </xf>
    <xf numFmtId="0" fontId="18" fillId="0" borderId="1" xfId="0" applyFont="1" applyBorder="1" applyAlignment="1">
      <alignment horizontal="center" vertical="center"/>
    </xf>
    <xf numFmtId="0" fontId="17" fillId="4" borderId="2" xfId="0" applyFont="1" applyFill="1" applyBorder="1" applyAlignment="1">
      <alignment horizontal="center" vertical="center"/>
    </xf>
    <xf numFmtId="41" fontId="18" fillId="0" borderId="1" xfId="21" applyFont="1" applyBorder="1" applyAlignment="1">
      <alignment horizontal="right" vertical="center"/>
    </xf>
    <xf numFmtId="41" fontId="18" fillId="0" borderId="1" xfId="21" applyFont="1" applyBorder="1" applyAlignment="1">
      <alignment horizontal="right" vertical="center"/>
    </xf>
    <xf numFmtId="41" fontId="18" fillId="0" borderId="1" xfId="21" applyFont="1" applyFill="1" applyBorder="1" applyAlignment="1">
      <alignment horizontal="right" vertical="center"/>
    </xf>
    <xf numFmtId="41" fontId="18" fillId="0" borderId="1" xfId="21" applyFont="1" applyBorder="1" applyAlignment="1">
      <alignment horizontal="right" vertical="center"/>
    </xf>
    <xf numFmtId="41" fontId="18" fillId="0" borderId="1" xfId="21" applyFont="1" applyFill="1" applyBorder="1" applyAlignment="1">
      <alignment horizontal="right" vertical="center"/>
    </xf>
    <xf numFmtId="41" fontId="18" fillId="0" borderId="1" xfId="21" applyFont="1" applyBorder="1" applyAlignment="1">
      <alignment horizontal="right" vertical="center"/>
    </xf>
    <xf numFmtId="41" fontId="18" fillId="0" borderId="1" xfId="21" applyFont="1" applyBorder="1" applyAlignment="1">
      <alignment vertical="center"/>
    </xf>
    <xf numFmtId="41" fontId="18" fillId="0" borderId="12" xfId="21" applyFont="1" applyFill="1" applyBorder="1" applyAlignment="1">
      <alignment horizontal="right" vertical="center"/>
    </xf>
    <xf numFmtId="41" fontId="18" fillId="0" borderId="1" xfId="21" applyFont="1" applyBorder="1" applyAlignment="1">
      <alignment horizontal="right" vertical="center"/>
    </xf>
    <xf numFmtId="41" fontId="18" fillId="0" borderId="1" xfId="21" applyFont="1" applyBorder="1" applyAlignment="1">
      <alignment horizontal="right" vertical="center"/>
    </xf>
    <xf numFmtId="41" fontId="18" fillId="0" borderId="1" xfId="21" applyFont="1" applyBorder="1" applyAlignment="1">
      <alignment horizontal="right" vertical="center"/>
    </xf>
    <xf numFmtId="41" fontId="18" fillId="0" borderId="7" xfId="21" applyFont="1" applyBorder="1" applyAlignment="1">
      <alignment horizontal="right" vertical="center"/>
    </xf>
    <xf numFmtId="41" fontId="18" fillId="0" borderId="1" xfId="1" applyFont="1" applyBorder="1" applyAlignment="1">
      <alignment horizontal="right" vertical="center"/>
    </xf>
    <xf numFmtId="41" fontId="18" fillId="0" borderId="1" xfId="1" applyFont="1" applyBorder="1" applyAlignment="1">
      <alignment horizontal="right" vertical="center"/>
    </xf>
    <xf numFmtId="41" fontId="18" fillId="0" borderId="1" xfId="1" applyFont="1" applyBorder="1" applyAlignment="1">
      <alignment horizontal="right" vertical="center"/>
    </xf>
    <xf numFmtId="41" fontId="18" fillId="0" borderId="1" xfId="1" applyFont="1" applyBorder="1" applyAlignment="1">
      <alignment horizontal="right" vertical="center"/>
    </xf>
    <xf numFmtId="41" fontId="18" fillId="0" borderId="1" xfId="1" applyFont="1" applyBorder="1" applyAlignment="1">
      <alignment horizontal="right" vertical="center"/>
    </xf>
    <xf numFmtId="41" fontId="18" fillId="0" borderId="1" xfId="1" applyFont="1" applyBorder="1" applyAlignment="1">
      <alignment horizontal="right" vertical="center"/>
    </xf>
    <xf numFmtId="41" fontId="18" fillId="0" borderId="1" xfId="1" applyFont="1" applyBorder="1" applyAlignment="1">
      <alignment horizontal="right" vertical="center"/>
    </xf>
    <xf numFmtId="177" fontId="18" fillId="0" borderId="1" xfId="1" applyNumberFormat="1" applyFont="1" applyFill="1" applyBorder="1" applyAlignment="1">
      <alignment horizontal="right" vertical="center"/>
    </xf>
    <xf numFmtId="41" fontId="18" fillId="0" borderId="1" xfId="1" applyFont="1" applyBorder="1" applyAlignment="1">
      <alignment horizontal="right" vertical="center"/>
    </xf>
    <xf numFmtId="41" fontId="18" fillId="0" borderId="1" xfId="1" applyFont="1" applyBorder="1" applyAlignment="1">
      <alignment horizontal="right" vertical="center"/>
    </xf>
    <xf numFmtId="41" fontId="18" fillId="0" borderId="1" xfId="1" applyFont="1" applyBorder="1" applyAlignment="1">
      <alignment horizontal="right" vertical="center"/>
    </xf>
    <xf numFmtId="41" fontId="18" fillId="0" borderId="1" xfId="1" applyFont="1" applyBorder="1" applyAlignment="1">
      <alignment horizontal="right" vertical="center"/>
    </xf>
    <xf numFmtId="41" fontId="18" fillId="0" borderId="1" xfId="1" applyFont="1" applyBorder="1" applyAlignment="1">
      <alignment horizontal="right" vertical="center"/>
    </xf>
    <xf numFmtId="41" fontId="18" fillId="0" borderId="1" xfId="1" applyFont="1" applyBorder="1" applyAlignment="1">
      <alignment horizontal="right" vertical="center"/>
    </xf>
    <xf numFmtId="177" fontId="18" fillId="0" borderId="1" xfId="1" applyNumberFormat="1" applyFont="1" applyFill="1" applyBorder="1" applyAlignment="1">
      <alignment horizontal="right" vertical="center"/>
    </xf>
    <xf numFmtId="177" fontId="18" fillId="0" borderId="1" xfId="1" applyNumberFormat="1" applyFont="1" applyFill="1" applyBorder="1" applyAlignment="1">
      <alignment horizontal="right" vertical="center"/>
    </xf>
    <xf numFmtId="177" fontId="18" fillId="0" borderId="1" xfId="1" applyNumberFormat="1" applyFont="1" applyFill="1" applyBorder="1" applyAlignment="1">
      <alignment horizontal="right" vertical="center"/>
    </xf>
    <xf numFmtId="41" fontId="18" fillId="0" borderId="1" xfId="1" applyFont="1" applyBorder="1" applyAlignment="1">
      <alignment horizontal="right" vertical="center"/>
    </xf>
    <xf numFmtId="41" fontId="17" fillId="0" borderId="1" xfId="1" applyFont="1" applyBorder="1" applyAlignment="1">
      <alignment horizontal="right" vertical="center"/>
    </xf>
    <xf numFmtId="177" fontId="18" fillId="0" borderId="1" xfId="1" applyNumberFormat="1" applyFont="1" applyFill="1" applyBorder="1" applyAlignment="1">
      <alignment horizontal="right" vertical="center"/>
    </xf>
    <xf numFmtId="177" fontId="18" fillId="0" borderId="1" xfId="1" applyNumberFormat="1" applyFont="1" applyFill="1" applyBorder="1" applyAlignment="1">
      <alignment horizontal="right" vertical="center"/>
    </xf>
    <xf numFmtId="177" fontId="18" fillId="0" borderId="1" xfId="1" applyNumberFormat="1" applyFont="1" applyFill="1" applyBorder="1" applyAlignment="1">
      <alignment horizontal="right" vertical="center"/>
    </xf>
    <xf numFmtId="41" fontId="18" fillId="0" borderId="1" xfId="1" applyFont="1" applyBorder="1" applyAlignment="1">
      <alignment horizontal="right" vertical="center"/>
    </xf>
    <xf numFmtId="177" fontId="18" fillId="0" borderId="1" xfId="1" applyNumberFormat="1" applyFont="1" applyFill="1" applyBorder="1" applyAlignment="1">
      <alignment horizontal="right" vertical="center"/>
    </xf>
    <xf numFmtId="41" fontId="18" fillId="0" borderId="1" xfId="1" applyFont="1" applyBorder="1" applyAlignment="1">
      <alignment horizontal="right" vertical="center"/>
    </xf>
    <xf numFmtId="41" fontId="18" fillId="0" borderId="1" xfId="1" applyFont="1" applyFill="1" applyBorder="1" applyAlignment="1">
      <alignment horizontal="right" vertical="center"/>
    </xf>
    <xf numFmtId="41" fontId="18" fillId="0" borderId="1" xfId="1" applyFont="1" applyBorder="1" applyAlignment="1">
      <alignment horizontal="right" vertical="center"/>
    </xf>
    <xf numFmtId="41" fontId="18" fillId="0" borderId="1" xfId="1" applyFont="1" applyFill="1" applyBorder="1" applyAlignment="1">
      <alignment horizontal="right" vertical="center"/>
    </xf>
    <xf numFmtId="41" fontId="18" fillId="0" borderId="1" xfId="1" applyFont="1" applyBorder="1" applyAlignment="1">
      <alignment horizontal="right" vertical="center"/>
    </xf>
    <xf numFmtId="41" fontId="19" fillId="0" borderId="1" xfId="1" applyFont="1" applyBorder="1">
      <alignment vertical="center"/>
    </xf>
    <xf numFmtId="41" fontId="20" fillId="0" borderId="31" xfId="711" applyFont="1" applyBorder="1">
      <alignment vertical="center"/>
    </xf>
    <xf numFmtId="41" fontId="18" fillId="0" borderId="1" xfId="1" applyFont="1" applyBorder="1" applyAlignment="1">
      <alignment horizontal="right" vertical="center"/>
    </xf>
    <xf numFmtId="41" fontId="20" fillId="0" borderId="12" xfId="711" applyFont="1" applyBorder="1">
      <alignment vertical="center"/>
    </xf>
    <xf numFmtId="41" fontId="18" fillId="0" borderId="1" xfId="1" applyFont="1" applyBorder="1" applyAlignment="1">
      <alignment horizontal="right" vertical="center"/>
    </xf>
    <xf numFmtId="41" fontId="18" fillId="0" borderId="1" xfId="1" applyFont="1" applyBorder="1" applyAlignment="1">
      <alignment horizontal="right" vertical="center"/>
    </xf>
    <xf numFmtId="41" fontId="18" fillId="0" borderId="1" xfId="1" applyFont="1" applyFill="1" applyBorder="1" applyAlignment="1">
      <alignment horizontal="right" vertical="center"/>
    </xf>
    <xf numFmtId="41" fontId="18" fillId="0" borderId="7" xfId="1" applyFont="1" applyBorder="1" applyAlignment="1">
      <alignment horizontal="right" vertical="center"/>
    </xf>
    <xf numFmtId="0" fontId="17" fillId="5" borderId="9" xfId="0" applyFont="1" applyFill="1" applyBorder="1" applyAlignment="1">
      <alignment horizontal="center" vertical="center"/>
    </xf>
    <xf numFmtId="0" fontId="17" fillId="5" borderId="4" xfId="0" applyFont="1" applyFill="1" applyBorder="1" applyAlignment="1">
      <alignment horizontal="center" vertical="center"/>
    </xf>
    <xf numFmtId="0" fontId="17" fillId="2" borderId="1" xfId="0" applyFont="1" applyFill="1" applyBorder="1" applyAlignment="1">
      <alignment horizontal="center" vertical="center"/>
    </xf>
    <xf numFmtId="0" fontId="17" fillId="0" borderId="10" xfId="0" applyFont="1" applyBorder="1" applyAlignment="1">
      <alignment horizontal="center" vertical="center" wrapText="1"/>
    </xf>
    <xf numFmtId="0" fontId="17" fillId="0" borderId="10" xfId="0" applyFont="1" applyBorder="1" applyAlignment="1">
      <alignment horizontal="center" vertical="center"/>
    </xf>
    <xf numFmtId="0" fontId="17" fillId="3" borderId="10" xfId="0" applyFont="1" applyFill="1" applyBorder="1" applyAlignment="1">
      <alignment horizontal="center" vertical="center"/>
    </xf>
    <xf numFmtId="0" fontId="17" fillId="3" borderId="1" xfId="0" applyFont="1" applyFill="1" applyBorder="1" applyAlignment="1">
      <alignment horizontal="center" vertical="center"/>
    </xf>
    <xf numFmtId="0" fontId="18" fillId="0" borderId="10" xfId="0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7" fillId="4" borderId="11" xfId="0" applyFont="1" applyFill="1" applyBorder="1" applyAlignment="1">
      <alignment horizontal="center" vertical="center"/>
    </xf>
    <xf numFmtId="0" fontId="17" fillId="4" borderId="2" xfId="0" applyFont="1" applyFill="1" applyBorder="1" applyAlignment="1">
      <alignment horizontal="center" vertical="center"/>
    </xf>
    <xf numFmtId="0" fontId="18" fillId="0" borderId="7" xfId="0" applyFont="1" applyBorder="1" applyAlignment="1">
      <alignment horizontal="center" vertical="center" wrapText="1"/>
    </xf>
    <xf numFmtId="0" fontId="18" fillId="0" borderId="12" xfId="0" applyFont="1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 wrapText="1"/>
    </xf>
    <xf numFmtId="0" fontId="18" fillId="0" borderId="14" xfId="0" applyFont="1" applyBorder="1" applyAlignment="1">
      <alignment horizontal="center" vertical="center" wrapText="1"/>
    </xf>
    <xf numFmtId="0" fontId="18" fillId="0" borderId="15" xfId="0" applyFont="1" applyBorder="1" applyAlignment="1">
      <alignment horizontal="center" vertical="center" wrapText="1"/>
    </xf>
    <xf numFmtId="0" fontId="18" fillId="0" borderId="14" xfId="0" applyFont="1" applyBorder="1" applyAlignment="1">
      <alignment horizontal="center" vertical="center"/>
    </xf>
    <xf numFmtId="0" fontId="18" fillId="0" borderId="15" xfId="0" applyFont="1" applyBorder="1" applyAlignment="1">
      <alignment horizontal="center" vertical="center"/>
    </xf>
    <xf numFmtId="0" fontId="18" fillId="0" borderId="16" xfId="0" applyFont="1" applyBorder="1" applyAlignment="1">
      <alignment horizontal="center" vertical="center"/>
    </xf>
    <xf numFmtId="0" fontId="18" fillId="0" borderId="17" xfId="0" applyFont="1" applyBorder="1" applyAlignment="1">
      <alignment horizontal="center" vertical="center"/>
    </xf>
    <xf numFmtId="0" fontId="18" fillId="0" borderId="18" xfId="0" applyFont="1" applyBorder="1" applyAlignment="1">
      <alignment horizontal="center" vertical="center" wrapText="1"/>
    </xf>
    <xf numFmtId="0" fontId="18" fillId="0" borderId="19" xfId="0" applyFont="1" applyBorder="1" applyAlignment="1">
      <alignment horizontal="center" vertical="center" wrapText="1"/>
    </xf>
    <xf numFmtId="0" fontId="18" fillId="0" borderId="20" xfId="0" applyFont="1" applyBorder="1" applyAlignment="1">
      <alignment horizontal="center" vertical="center" wrapText="1"/>
    </xf>
    <xf numFmtId="0" fontId="16" fillId="0" borderId="21" xfId="0" applyFont="1" applyBorder="1" applyAlignment="1">
      <alignment horizontal="center" vertical="center"/>
    </xf>
    <xf numFmtId="0" fontId="17" fillId="4" borderId="28" xfId="0" applyFont="1" applyFill="1" applyBorder="1" applyAlignment="1">
      <alignment horizontal="center" vertical="center"/>
    </xf>
    <xf numFmtId="0" fontId="17" fillId="4" borderId="29" xfId="0" applyFont="1" applyFill="1" applyBorder="1" applyAlignment="1">
      <alignment horizontal="center" vertical="center"/>
    </xf>
    <xf numFmtId="0" fontId="17" fillId="4" borderId="30" xfId="0" applyFont="1" applyFill="1" applyBorder="1" applyAlignment="1">
      <alignment horizontal="center" vertical="center"/>
    </xf>
    <xf numFmtId="0" fontId="17" fillId="0" borderId="22" xfId="0" applyFont="1" applyBorder="1" applyAlignment="1">
      <alignment horizontal="center" vertical="center" wrapText="1"/>
    </xf>
    <xf numFmtId="0" fontId="17" fillId="0" borderId="23" xfId="0" applyFont="1" applyBorder="1" applyAlignment="1">
      <alignment horizontal="center" vertical="center" wrapText="1"/>
    </xf>
    <xf numFmtId="0" fontId="17" fillId="0" borderId="24" xfId="0" applyFont="1" applyBorder="1" applyAlignment="1">
      <alignment horizontal="center" vertical="center" wrapText="1"/>
    </xf>
    <xf numFmtId="0" fontId="17" fillId="2" borderId="14" xfId="0" applyFont="1" applyFill="1" applyBorder="1" applyAlignment="1">
      <alignment horizontal="center" vertical="center"/>
    </xf>
    <xf numFmtId="0" fontId="17" fillId="2" borderId="15" xfId="0" applyFont="1" applyFill="1" applyBorder="1" applyAlignment="1">
      <alignment horizontal="center" vertical="center"/>
    </xf>
    <xf numFmtId="0" fontId="17" fillId="5" borderId="25" xfId="0" applyFont="1" applyFill="1" applyBorder="1" applyAlignment="1">
      <alignment horizontal="center" vertical="center"/>
    </xf>
    <xf numFmtId="0" fontId="17" fillId="5" borderId="26" xfId="0" applyFont="1" applyFill="1" applyBorder="1" applyAlignment="1">
      <alignment horizontal="center" vertical="center"/>
    </xf>
    <xf numFmtId="0" fontId="17" fillId="5" borderId="27" xfId="0" applyFont="1" applyFill="1" applyBorder="1" applyAlignment="1">
      <alignment horizontal="center" vertical="center"/>
    </xf>
    <xf numFmtId="0" fontId="17" fillId="3" borderId="16" xfId="0" applyFont="1" applyFill="1" applyBorder="1" applyAlignment="1">
      <alignment horizontal="center" vertical="center"/>
    </xf>
    <xf numFmtId="0" fontId="17" fillId="3" borderId="17" xfId="0" applyFont="1" applyFill="1" applyBorder="1" applyAlignment="1">
      <alignment horizontal="center" vertical="center"/>
    </xf>
    <xf numFmtId="0" fontId="17" fillId="3" borderId="15" xfId="0" applyFont="1" applyFill="1" applyBorder="1" applyAlignment="1">
      <alignment horizontal="center" vertical="center"/>
    </xf>
  </cellXfs>
  <cellStyles count="808">
    <cellStyle name="쉼표 [0]" xfId="1" builtinId="6"/>
    <cellStyle name="쉼표 [0] 2" xfId="5" xr:uid="{00000000-0005-0000-0000-000001000000}"/>
    <cellStyle name="쉼표 [0] 2 2" xfId="21" xr:uid="{00000000-0005-0000-0000-000002000000}"/>
    <cellStyle name="쉼표 [0] 3" xfId="3" xr:uid="{00000000-0005-0000-0000-000003000000}"/>
    <cellStyle name="쉼표 [0] 3 10" xfId="169" xr:uid="{00000000-0005-0000-0000-000004000000}"/>
    <cellStyle name="쉼표 [0] 3 11" xfId="329" xr:uid="{00000000-0005-0000-0000-000005000000}"/>
    <cellStyle name="쉼표 [0] 3 12" xfId="489" xr:uid="{00000000-0005-0000-0000-000006000000}"/>
    <cellStyle name="쉼표 [0] 3 13" xfId="649" xr:uid="{00000000-0005-0000-0000-000007000000}"/>
    <cellStyle name="쉼표 [0] 3 2" xfId="8" xr:uid="{00000000-0005-0000-0000-000008000000}"/>
    <cellStyle name="쉼표 [0] 3 2 10" xfId="331" xr:uid="{00000000-0005-0000-0000-000009000000}"/>
    <cellStyle name="쉼표 [0] 3 2 11" xfId="491" xr:uid="{00000000-0005-0000-0000-00000A000000}"/>
    <cellStyle name="쉼표 [0] 3 2 12" xfId="651" xr:uid="{00000000-0005-0000-0000-00000B000000}"/>
    <cellStyle name="쉼표 [0] 3 2 2" xfId="12" xr:uid="{00000000-0005-0000-0000-00000C000000}"/>
    <cellStyle name="쉼표 [0] 3 2 2 10" xfId="495" xr:uid="{00000000-0005-0000-0000-00000D000000}"/>
    <cellStyle name="쉼표 [0] 3 2 2 11" xfId="655" xr:uid="{00000000-0005-0000-0000-00000E000000}"/>
    <cellStyle name="쉼표 [0] 3 2 2 2" xfId="20" xr:uid="{00000000-0005-0000-0000-00000F000000}"/>
    <cellStyle name="쉼표 [0] 3 2 2 2 10" xfId="663" xr:uid="{00000000-0005-0000-0000-000010000000}"/>
    <cellStyle name="쉼표 [0] 3 2 2 2 2" xfId="22" xr:uid="{00000000-0005-0000-0000-000011000000}"/>
    <cellStyle name="쉼표 [0] 3 2 2 2 2 2" xfId="71" xr:uid="{00000000-0005-0000-0000-000012000000}"/>
    <cellStyle name="쉼표 [0] 3 2 2 2 2 2 2" xfId="231" xr:uid="{00000000-0005-0000-0000-000013000000}"/>
    <cellStyle name="쉼표 [0] 3 2 2 2 2 2 3" xfId="391" xr:uid="{00000000-0005-0000-0000-000014000000}"/>
    <cellStyle name="쉼표 [0] 3 2 2 2 2 2 4" xfId="551" xr:uid="{00000000-0005-0000-0000-000015000000}"/>
    <cellStyle name="쉼표 [0] 3 2 2 2 2 2 5" xfId="711" xr:uid="{00000000-0005-0000-0000-000016000000}"/>
    <cellStyle name="쉼표 [0] 3 2 2 2 2 3" xfId="103" xr:uid="{00000000-0005-0000-0000-000017000000}"/>
    <cellStyle name="쉼표 [0] 3 2 2 2 2 3 2" xfId="263" xr:uid="{00000000-0005-0000-0000-000018000000}"/>
    <cellStyle name="쉼표 [0] 3 2 2 2 2 3 3" xfId="423" xr:uid="{00000000-0005-0000-0000-000019000000}"/>
    <cellStyle name="쉼표 [0] 3 2 2 2 2 3 4" xfId="583" xr:uid="{00000000-0005-0000-0000-00001A000000}"/>
    <cellStyle name="쉼표 [0] 3 2 2 2 2 3 5" xfId="743" xr:uid="{00000000-0005-0000-0000-00001B000000}"/>
    <cellStyle name="쉼표 [0] 3 2 2 2 2 4" xfId="135" xr:uid="{00000000-0005-0000-0000-00001C000000}"/>
    <cellStyle name="쉼표 [0] 3 2 2 2 2 4 2" xfId="295" xr:uid="{00000000-0005-0000-0000-00001D000000}"/>
    <cellStyle name="쉼표 [0] 3 2 2 2 2 4 3" xfId="455" xr:uid="{00000000-0005-0000-0000-00001E000000}"/>
    <cellStyle name="쉼표 [0] 3 2 2 2 2 4 4" xfId="615" xr:uid="{00000000-0005-0000-0000-00001F000000}"/>
    <cellStyle name="쉼표 [0] 3 2 2 2 2 4 5" xfId="775" xr:uid="{00000000-0005-0000-0000-000020000000}"/>
    <cellStyle name="쉼표 [0] 3 2 2 2 2 5" xfId="167" xr:uid="{00000000-0005-0000-0000-000021000000}"/>
    <cellStyle name="쉼표 [0] 3 2 2 2 2 5 2" xfId="327" xr:uid="{00000000-0005-0000-0000-000022000000}"/>
    <cellStyle name="쉼표 [0] 3 2 2 2 2 5 3" xfId="487" xr:uid="{00000000-0005-0000-0000-000023000000}"/>
    <cellStyle name="쉼표 [0] 3 2 2 2 2 5 4" xfId="647" xr:uid="{00000000-0005-0000-0000-000024000000}"/>
    <cellStyle name="쉼표 [0] 3 2 2 2 2 5 5" xfId="807" xr:uid="{00000000-0005-0000-0000-000025000000}"/>
    <cellStyle name="쉼표 [0] 3 2 2 2 2 6" xfId="184" xr:uid="{00000000-0005-0000-0000-000026000000}"/>
    <cellStyle name="쉼표 [0] 3 2 2 2 2 7" xfId="344" xr:uid="{00000000-0005-0000-0000-000027000000}"/>
    <cellStyle name="쉼표 [0] 3 2 2 2 2 8" xfId="504" xr:uid="{00000000-0005-0000-0000-000028000000}"/>
    <cellStyle name="쉼표 [0] 3 2 2 2 2 9" xfId="664" xr:uid="{00000000-0005-0000-0000-000029000000}"/>
    <cellStyle name="쉼표 [0] 3 2 2 2 3" xfId="55" xr:uid="{00000000-0005-0000-0000-00002A000000}"/>
    <cellStyle name="쉼표 [0] 3 2 2 2 3 2" xfId="215" xr:uid="{00000000-0005-0000-0000-00002B000000}"/>
    <cellStyle name="쉼표 [0] 3 2 2 2 3 3" xfId="375" xr:uid="{00000000-0005-0000-0000-00002C000000}"/>
    <cellStyle name="쉼표 [0] 3 2 2 2 3 4" xfId="535" xr:uid="{00000000-0005-0000-0000-00002D000000}"/>
    <cellStyle name="쉼표 [0] 3 2 2 2 3 5" xfId="695" xr:uid="{00000000-0005-0000-0000-00002E000000}"/>
    <cellStyle name="쉼표 [0] 3 2 2 2 4" xfId="87" xr:uid="{00000000-0005-0000-0000-00002F000000}"/>
    <cellStyle name="쉼표 [0] 3 2 2 2 4 2" xfId="247" xr:uid="{00000000-0005-0000-0000-000030000000}"/>
    <cellStyle name="쉼표 [0] 3 2 2 2 4 3" xfId="407" xr:uid="{00000000-0005-0000-0000-000031000000}"/>
    <cellStyle name="쉼표 [0] 3 2 2 2 4 4" xfId="567" xr:uid="{00000000-0005-0000-0000-000032000000}"/>
    <cellStyle name="쉼표 [0] 3 2 2 2 4 5" xfId="727" xr:uid="{00000000-0005-0000-0000-000033000000}"/>
    <cellStyle name="쉼표 [0] 3 2 2 2 5" xfId="119" xr:uid="{00000000-0005-0000-0000-000034000000}"/>
    <cellStyle name="쉼표 [0] 3 2 2 2 5 2" xfId="279" xr:uid="{00000000-0005-0000-0000-000035000000}"/>
    <cellStyle name="쉼표 [0] 3 2 2 2 5 3" xfId="439" xr:uid="{00000000-0005-0000-0000-000036000000}"/>
    <cellStyle name="쉼표 [0] 3 2 2 2 5 4" xfId="599" xr:uid="{00000000-0005-0000-0000-000037000000}"/>
    <cellStyle name="쉼표 [0] 3 2 2 2 5 5" xfId="759" xr:uid="{00000000-0005-0000-0000-000038000000}"/>
    <cellStyle name="쉼표 [0] 3 2 2 2 6" xfId="151" xr:uid="{00000000-0005-0000-0000-000039000000}"/>
    <cellStyle name="쉼표 [0] 3 2 2 2 6 2" xfId="311" xr:uid="{00000000-0005-0000-0000-00003A000000}"/>
    <cellStyle name="쉼표 [0] 3 2 2 2 6 3" xfId="471" xr:uid="{00000000-0005-0000-0000-00003B000000}"/>
    <cellStyle name="쉼표 [0] 3 2 2 2 6 4" xfId="631" xr:uid="{00000000-0005-0000-0000-00003C000000}"/>
    <cellStyle name="쉼표 [0] 3 2 2 2 6 5" xfId="791" xr:uid="{00000000-0005-0000-0000-00003D000000}"/>
    <cellStyle name="쉼표 [0] 3 2 2 2 7" xfId="183" xr:uid="{00000000-0005-0000-0000-00003E000000}"/>
    <cellStyle name="쉼표 [0] 3 2 2 2 8" xfId="343" xr:uid="{00000000-0005-0000-0000-00003F000000}"/>
    <cellStyle name="쉼표 [0] 3 2 2 2 9" xfId="503" xr:uid="{00000000-0005-0000-0000-000040000000}"/>
    <cellStyle name="쉼표 [0] 3 2 2 3" xfId="23" xr:uid="{00000000-0005-0000-0000-000041000000}"/>
    <cellStyle name="쉼표 [0] 3 2 2 3 2" xfId="63" xr:uid="{00000000-0005-0000-0000-000042000000}"/>
    <cellStyle name="쉼표 [0] 3 2 2 3 2 2" xfId="223" xr:uid="{00000000-0005-0000-0000-000043000000}"/>
    <cellStyle name="쉼표 [0] 3 2 2 3 2 3" xfId="383" xr:uid="{00000000-0005-0000-0000-000044000000}"/>
    <cellStyle name="쉼표 [0] 3 2 2 3 2 4" xfId="543" xr:uid="{00000000-0005-0000-0000-000045000000}"/>
    <cellStyle name="쉼표 [0] 3 2 2 3 2 5" xfId="703" xr:uid="{00000000-0005-0000-0000-000046000000}"/>
    <cellStyle name="쉼표 [0] 3 2 2 3 3" xfId="95" xr:uid="{00000000-0005-0000-0000-000047000000}"/>
    <cellStyle name="쉼표 [0] 3 2 2 3 3 2" xfId="255" xr:uid="{00000000-0005-0000-0000-000048000000}"/>
    <cellStyle name="쉼표 [0] 3 2 2 3 3 3" xfId="415" xr:uid="{00000000-0005-0000-0000-000049000000}"/>
    <cellStyle name="쉼표 [0] 3 2 2 3 3 4" xfId="575" xr:uid="{00000000-0005-0000-0000-00004A000000}"/>
    <cellStyle name="쉼표 [0] 3 2 2 3 3 5" xfId="735" xr:uid="{00000000-0005-0000-0000-00004B000000}"/>
    <cellStyle name="쉼표 [0] 3 2 2 3 4" xfId="127" xr:uid="{00000000-0005-0000-0000-00004C000000}"/>
    <cellStyle name="쉼표 [0] 3 2 2 3 4 2" xfId="287" xr:uid="{00000000-0005-0000-0000-00004D000000}"/>
    <cellStyle name="쉼표 [0] 3 2 2 3 4 3" xfId="447" xr:uid="{00000000-0005-0000-0000-00004E000000}"/>
    <cellStyle name="쉼표 [0] 3 2 2 3 4 4" xfId="607" xr:uid="{00000000-0005-0000-0000-00004F000000}"/>
    <cellStyle name="쉼표 [0] 3 2 2 3 4 5" xfId="767" xr:uid="{00000000-0005-0000-0000-000050000000}"/>
    <cellStyle name="쉼표 [0] 3 2 2 3 5" xfId="159" xr:uid="{00000000-0005-0000-0000-000051000000}"/>
    <cellStyle name="쉼표 [0] 3 2 2 3 5 2" xfId="319" xr:uid="{00000000-0005-0000-0000-000052000000}"/>
    <cellStyle name="쉼표 [0] 3 2 2 3 5 3" xfId="479" xr:uid="{00000000-0005-0000-0000-000053000000}"/>
    <cellStyle name="쉼표 [0] 3 2 2 3 5 4" xfId="639" xr:uid="{00000000-0005-0000-0000-000054000000}"/>
    <cellStyle name="쉼표 [0] 3 2 2 3 5 5" xfId="799" xr:uid="{00000000-0005-0000-0000-000055000000}"/>
    <cellStyle name="쉼표 [0] 3 2 2 3 6" xfId="185" xr:uid="{00000000-0005-0000-0000-000056000000}"/>
    <cellStyle name="쉼표 [0] 3 2 2 3 7" xfId="345" xr:uid="{00000000-0005-0000-0000-000057000000}"/>
    <cellStyle name="쉼표 [0] 3 2 2 3 8" xfId="505" xr:uid="{00000000-0005-0000-0000-000058000000}"/>
    <cellStyle name="쉼표 [0] 3 2 2 3 9" xfId="665" xr:uid="{00000000-0005-0000-0000-000059000000}"/>
    <cellStyle name="쉼표 [0] 3 2 2 4" xfId="47" xr:uid="{00000000-0005-0000-0000-00005A000000}"/>
    <cellStyle name="쉼표 [0] 3 2 2 4 2" xfId="207" xr:uid="{00000000-0005-0000-0000-00005B000000}"/>
    <cellStyle name="쉼표 [0] 3 2 2 4 3" xfId="367" xr:uid="{00000000-0005-0000-0000-00005C000000}"/>
    <cellStyle name="쉼표 [0] 3 2 2 4 4" xfId="527" xr:uid="{00000000-0005-0000-0000-00005D000000}"/>
    <cellStyle name="쉼표 [0] 3 2 2 4 5" xfId="687" xr:uid="{00000000-0005-0000-0000-00005E000000}"/>
    <cellStyle name="쉼표 [0] 3 2 2 5" xfId="79" xr:uid="{00000000-0005-0000-0000-00005F000000}"/>
    <cellStyle name="쉼표 [0] 3 2 2 5 2" xfId="239" xr:uid="{00000000-0005-0000-0000-000060000000}"/>
    <cellStyle name="쉼표 [0] 3 2 2 5 3" xfId="399" xr:uid="{00000000-0005-0000-0000-000061000000}"/>
    <cellStyle name="쉼표 [0] 3 2 2 5 4" xfId="559" xr:uid="{00000000-0005-0000-0000-000062000000}"/>
    <cellStyle name="쉼표 [0] 3 2 2 5 5" xfId="719" xr:uid="{00000000-0005-0000-0000-000063000000}"/>
    <cellStyle name="쉼표 [0] 3 2 2 6" xfId="111" xr:uid="{00000000-0005-0000-0000-000064000000}"/>
    <cellStyle name="쉼표 [0] 3 2 2 6 2" xfId="271" xr:uid="{00000000-0005-0000-0000-000065000000}"/>
    <cellStyle name="쉼표 [0] 3 2 2 6 3" xfId="431" xr:uid="{00000000-0005-0000-0000-000066000000}"/>
    <cellStyle name="쉼표 [0] 3 2 2 6 4" xfId="591" xr:uid="{00000000-0005-0000-0000-000067000000}"/>
    <cellStyle name="쉼표 [0] 3 2 2 6 5" xfId="751" xr:uid="{00000000-0005-0000-0000-000068000000}"/>
    <cellStyle name="쉼표 [0] 3 2 2 7" xfId="143" xr:uid="{00000000-0005-0000-0000-000069000000}"/>
    <cellStyle name="쉼표 [0] 3 2 2 7 2" xfId="303" xr:uid="{00000000-0005-0000-0000-00006A000000}"/>
    <cellStyle name="쉼표 [0] 3 2 2 7 3" xfId="463" xr:uid="{00000000-0005-0000-0000-00006B000000}"/>
    <cellStyle name="쉼표 [0] 3 2 2 7 4" xfId="623" xr:uid="{00000000-0005-0000-0000-00006C000000}"/>
    <cellStyle name="쉼표 [0] 3 2 2 7 5" xfId="783" xr:uid="{00000000-0005-0000-0000-00006D000000}"/>
    <cellStyle name="쉼표 [0] 3 2 2 8" xfId="175" xr:uid="{00000000-0005-0000-0000-00006E000000}"/>
    <cellStyle name="쉼표 [0] 3 2 2 9" xfId="335" xr:uid="{00000000-0005-0000-0000-00006F000000}"/>
    <cellStyle name="쉼표 [0] 3 2 3" xfId="16" xr:uid="{00000000-0005-0000-0000-000070000000}"/>
    <cellStyle name="쉼표 [0] 3 2 3 10" xfId="659" xr:uid="{00000000-0005-0000-0000-000071000000}"/>
    <cellStyle name="쉼표 [0] 3 2 3 2" xfId="24" xr:uid="{00000000-0005-0000-0000-000072000000}"/>
    <cellStyle name="쉼표 [0] 3 2 3 2 2" xfId="67" xr:uid="{00000000-0005-0000-0000-000073000000}"/>
    <cellStyle name="쉼표 [0] 3 2 3 2 2 2" xfId="227" xr:uid="{00000000-0005-0000-0000-000074000000}"/>
    <cellStyle name="쉼표 [0] 3 2 3 2 2 3" xfId="387" xr:uid="{00000000-0005-0000-0000-000075000000}"/>
    <cellStyle name="쉼표 [0] 3 2 3 2 2 4" xfId="547" xr:uid="{00000000-0005-0000-0000-000076000000}"/>
    <cellStyle name="쉼표 [0] 3 2 3 2 2 5" xfId="707" xr:uid="{00000000-0005-0000-0000-000077000000}"/>
    <cellStyle name="쉼표 [0] 3 2 3 2 3" xfId="99" xr:uid="{00000000-0005-0000-0000-000078000000}"/>
    <cellStyle name="쉼표 [0] 3 2 3 2 3 2" xfId="259" xr:uid="{00000000-0005-0000-0000-000079000000}"/>
    <cellStyle name="쉼표 [0] 3 2 3 2 3 3" xfId="419" xr:uid="{00000000-0005-0000-0000-00007A000000}"/>
    <cellStyle name="쉼표 [0] 3 2 3 2 3 4" xfId="579" xr:uid="{00000000-0005-0000-0000-00007B000000}"/>
    <cellStyle name="쉼표 [0] 3 2 3 2 3 5" xfId="739" xr:uid="{00000000-0005-0000-0000-00007C000000}"/>
    <cellStyle name="쉼표 [0] 3 2 3 2 4" xfId="131" xr:uid="{00000000-0005-0000-0000-00007D000000}"/>
    <cellStyle name="쉼표 [0] 3 2 3 2 4 2" xfId="291" xr:uid="{00000000-0005-0000-0000-00007E000000}"/>
    <cellStyle name="쉼표 [0] 3 2 3 2 4 3" xfId="451" xr:uid="{00000000-0005-0000-0000-00007F000000}"/>
    <cellStyle name="쉼표 [0] 3 2 3 2 4 4" xfId="611" xr:uid="{00000000-0005-0000-0000-000080000000}"/>
    <cellStyle name="쉼표 [0] 3 2 3 2 4 5" xfId="771" xr:uid="{00000000-0005-0000-0000-000081000000}"/>
    <cellStyle name="쉼표 [0] 3 2 3 2 5" xfId="163" xr:uid="{00000000-0005-0000-0000-000082000000}"/>
    <cellStyle name="쉼표 [0] 3 2 3 2 5 2" xfId="323" xr:uid="{00000000-0005-0000-0000-000083000000}"/>
    <cellStyle name="쉼표 [0] 3 2 3 2 5 3" xfId="483" xr:uid="{00000000-0005-0000-0000-000084000000}"/>
    <cellStyle name="쉼표 [0] 3 2 3 2 5 4" xfId="643" xr:uid="{00000000-0005-0000-0000-000085000000}"/>
    <cellStyle name="쉼표 [0] 3 2 3 2 5 5" xfId="803" xr:uid="{00000000-0005-0000-0000-000086000000}"/>
    <cellStyle name="쉼표 [0] 3 2 3 2 6" xfId="186" xr:uid="{00000000-0005-0000-0000-000087000000}"/>
    <cellStyle name="쉼표 [0] 3 2 3 2 7" xfId="346" xr:uid="{00000000-0005-0000-0000-000088000000}"/>
    <cellStyle name="쉼표 [0] 3 2 3 2 8" xfId="506" xr:uid="{00000000-0005-0000-0000-000089000000}"/>
    <cellStyle name="쉼표 [0] 3 2 3 2 9" xfId="666" xr:uid="{00000000-0005-0000-0000-00008A000000}"/>
    <cellStyle name="쉼표 [0] 3 2 3 3" xfId="51" xr:uid="{00000000-0005-0000-0000-00008B000000}"/>
    <cellStyle name="쉼표 [0] 3 2 3 3 2" xfId="211" xr:uid="{00000000-0005-0000-0000-00008C000000}"/>
    <cellStyle name="쉼표 [0] 3 2 3 3 3" xfId="371" xr:uid="{00000000-0005-0000-0000-00008D000000}"/>
    <cellStyle name="쉼표 [0] 3 2 3 3 4" xfId="531" xr:uid="{00000000-0005-0000-0000-00008E000000}"/>
    <cellStyle name="쉼표 [0] 3 2 3 3 5" xfId="691" xr:uid="{00000000-0005-0000-0000-00008F000000}"/>
    <cellStyle name="쉼표 [0] 3 2 3 4" xfId="83" xr:uid="{00000000-0005-0000-0000-000090000000}"/>
    <cellStyle name="쉼표 [0] 3 2 3 4 2" xfId="243" xr:uid="{00000000-0005-0000-0000-000091000000}"/>
    <cellStyle name="쉼표 [0] 3 2 3 4 3" xfId="403" xr:uid="{00000000-0005-0000-0000-000092000000}"/>
    <cellStyle name="쉼표 [0] 3 2 3 4 4" xfId="563" xr:uid="{00000000-0005-0000-0000-000093000000}"/>
    <cellStyle name="쉼표 [0] 3 2 3 4 5" xfId="723" xr:uid="{00000000-0005-0000-0000-000094000000}"/>
    <cellStyle name="쉼표 [0] 3 2 3 5" xfId="115" xr:uid="{00000000-0005-0000-0000-000095000000}"/>
    <cellStyle name="쉼표 [0] 3 2 3 5 2" xfId="275" xr:uid="{00000000-0005-0000-0000-000096000000}"/>
    <cellStyle name="쉼표 [0] 3 2 3 5 3" xfId="435" xr:uid="{00000000-0005-0000-0000-000097000000}"/>
    <cellStyle name="쉼표 [0] 3 2 3 5 4" xfId="595" xr:uid="{00000000-0005-0000-0000-000098000000}"/>
    <cellStyle name="쉼표 [0] 3 2 3 5 5" xfId="755" xr:uid="{00000000-0005-0000-0000-000099000000}"/>
    <cellStyle name="쉼표 [0] 3 2 3 6" xfId="147" xr:uid="{00000000-0005-0000-0000-00009A000000}"/>
    <cellStyle name="쉼표 [0] 3 2 3 6 2" xfId="307" xr:uid="{00000000-0005-0000-0000-00009B000000}"/>
    <cellStyle name="쉼표 [0] 3 2 3 6 3" xfId="467" xr:uid="{00000000-0005-0000-0000-00009C000000}"/>
    <cellStyle name="쉼표 [0] 3 2 3 6 4" xfId="627" xr:uid="{00000000-0005-0000-0000-00009D000000}"/>
    <cellStyle name="쉼표 [0] 3 2 3 6 5" xfId="787" xr:uid="{00000000-0005-0000-0000-00009E000000}"/>
    <cellStyle name="쉼표 [0] 3 2 3 7" xfId="179" xr:uid="{00000000-0005-0000-0000-00009F000000}"/>
    <cellStyle name="쉼표 [0] 3 2 3 8" xfId="339" xr:uid="{00000000-0005-0000-0000-0000A0000000}"/>
    <cellStyle name="쉼표 [0] 3 2 3 9" xfId="499" xr:uid="{00000000-0005-0000-0000-0000A1000000}"/>
    <cellStyle name="쉼표 [0] 3 2 4" xfId="25" xr:uid="{00000000-0005-0000-0000-0000A2000000}"/>
    <cellStyle name="쉼표 [0] 3 2 4 2" xfId="59" xr:uid="{00000000-0005-0000-0000-0000A3000000}"/>
    <cellStyle name="쉼표 [0] 3 2 4 2 2" xfId="219" xr:uid="{00000000-0005-0000-0000-0000A4000000}"/>
    <cellStyle name="쉼표 [0] 3 2 4 2 3" xfId="379" xr:uid="{00000000-0005-0000-0000-0000A5000000}"/>
    <cellStyle name="쉼표 [0] 3 2 4 2 4" xfId="539" xr:uid="{00000000-0005-0000-0000-0000A6000000}"/>
    <cellStyle name="쉼표 [0] 3 2 4 2 5" xfId="699" xr:uid="{00000000-0005-0000-0000-0000A7000000}"/>
    <cellStyle name="쉼표 [0] 3 2 4 3" xfId="91" xr:uid="{00000000-0005-0000-0000-0000A8000000}"/>
    <cellStyle name="쉼표 [0] 3 2 4 3 2" xfId="251" xr:uid="{00000000-0005-0000-0000-0000A9000000}"/>
    <cellStyle name="쉼표 [0] 3 2 4 3 3" xfId="411" xr:uid="{00000000-0005-0000-0000-0000AA000000}"/>
    <cellStyle name="쉼표 [0] 3 2 4 3 4" xfId="571" xr:uid="{00000000-0005-0000-0000-0000AB000000}"/>
    <cellStyle name="쉼표 [0] 3 2 4 3 5" xfId="731" xr:uid="{00000000-0005-0000-0000-0000AC000000}"/>
    <cellStyle name="쉼표 [0] 3 2 4 4" xfId="123" xr:uid="{00000000-0005-0000-0000-0000AD000000}"/>
    <cellStyle name="쉼표 [0] 3 2 4 4 2" xfId="283" xr:uid="{00000000-0005-0000-0000-0000AE000000}"/>
    <cellStyle name="쉼표 [0] 3 2 4 4 3" xfId="443" xr:uid="{00000000-0005-0000-0000-0000AF000000}"/>
    <cellStyle name="쉼표 [0] 3 2 4 4 4" xfId="603" xr:uid="{00000000-0005-0000-0000-0000B0000000}"/>
    <cellStyle name="쉼표 [0] 3 2 4 4 5" xfId="763" xr:uid="{00000000-0005-0000-0000-0000B1000000}"/>
    <cellStyle name="쉼표 [0] 3 2 4 5" xfId="155" xr:uid="{00000000-0005-0000-0000-0000B2000000}"/>
    <cellStyle name="쉼표 [0] 3 2 4 5 2" xfId="315" xr:uid="{00000000-0005-0000-0000-0000B3000000}"/>
    <cellStyle name="쉼표 [0] 3 2 4 5 3" xfId="475" xr:uid="{00000000-0005-0000-0000-0000B4000000}"/>
    <cellStyle name="쉼표 [0] 3 2 4 5 4" xfId="635" xr:uid="{00000000-0005-0000-0000-0000B5000000}"/>
    <cellStyle name="쉼표 [0] 3 2 4 5 5" xfId="795" xr:uid="{00000000-0005-0000-0000-0000B6000000}"/>
    <cellStyle name="쉼표 [0] 3 2 4 6" xfId="187" xr:uid="{00000000-0005-0000-0000-0000B7000000}"/>
    <cellStyle name="쉼표 [0] 3 2 4 7" xfId="347" xr:uid="{00000000-0005-0000-0000-0000B8000000}"/>
    <cellStyle name="쉼표 [0] 3 2 4 8" xfId="507" xr:uid="{00000000-0005-0000-0000-0000B9000000}"/>
    <cellStyle name="쉼표 [0] 3 2 4 9" xfId="667" xr:uid="{00000000-0005-0000-0000-0000BA000000}"/>
    <cellStyle name="쉼표 [0] 3 2 5" xfId="43" xr:uid="{00000000-0005-0000-0000-0000BB000000}"/>
    <cellStyle name="쉼표 [0] 3 2 5 2" xfId="203" xr:uid="{00000000-0005-0000-0000-0000BC000000}"/>
    <cellStyle name="쉼표 [0] 3 2 5 3" xfId="363" xr:uid="{00000000-0005-0000-0000-0000BD000000}"/>
    <cellStyle name="쉼표 [0] 3 2 5 4" xfId="523" xr:uid="{00000000-0005-0000-0000-0000BE000000}"/>
    <cellStyle name="쉼표 [0] 3 2 5 5" xfId="683" xr:uid="{00000000-0005-0000-0000-0000BF000000}"/>
    <cellStyle name="쉼표 [0] 3 2 6" xfId="75" xr:uid="{00000000-0005-0000-0000-0000C0000000}"/>
    <cellStyle name="쉼표 [0] 3 2 6 2" xfId="235" xr:uid="{00000000-0005-0000-0000-0000C1000000}"/>
    <cellStyle name="쉼표 [0] 3 2 6 3" xfId="395" xr:uid="{00000000-0005-0000-0000-0000C2000000}"/>
    <cellStyle name="쉼표 [0] 3 2 6 4" xfId="555" xr:uid="{00000000-0005-0000-0000-0000C3000000}"/>
    <cellStyle name="쉼표 [0] 3 2 6 5" xfId="715" xr:uid="{00000000-0005-0000-0000-0000C4000000}"/>
    <cellStyle name="쉼표 [0] 3 2 7" xfId="107" xr:uid="{00000000-0005-0000-0000-0000C5000000}"/>
    <cellStyle name="쉼표 [0] 3 2 7 2" xfId="267" xr:uid="{00000000-0005-0000-0000-0000C6000000}"/>
    <cellStyle name="쉼표 [0] 3 2 7 3" xfId="427" xr:uid="{00000000-0005-0000-0000-0000C7000000}"/>
    <cellStyle name="쉼표 [0] 3 2 7 4" xfId="587" xr:uid="{00000000-0005-0000-0000-0000C8000000}"/>
    <cellStyle name="쉼표 [0] 3 2 7 5" xfId="747" xr:uid="{00000000-0005-0000-0000-0000C9000000}"/>
    <cellStyle name="쉼표 [0] 3 2 8" xfId="139" xr:uid="{00000000-0005-0000-0000-0000CA000000}"/>
    <cellStyle name="쉼표 [0] 3 2 8 2" xfId="299" xr:uid="{00000000-0005-0000-0000-0000CB000000}"/>
    <cellStyle name="쉼표 [0] 3 2 8 3" xfId="459" xr:uid="{00000000-0005-0000-0000-0000CC000000}"/>
    <cellStyle name="쉼표 [0] 3 2 8 4" xfId="619" xr:uid="{00000000-0005-0000-0000-0000CD000000}"/>
    <cellStyle name="쉼표 [0] 3 2 8 5" xfId="779" xr:uid="{00000000-0005-0000-0000-0000CE000000}"/>
    <cellStyle name="쉼표 [0] 3 2 9" xfId="171" xr:uid="{00000000-0005-0000-0000-0000CF000000}"/>
    <cellStyle name="쉼표 [0] 3 3" xfId="10" xr:uid="{00000000-0005-0000-0000-0000D0000000}"/>
    <cellStyle name="쉼표 [0] 3 3 10" xfId="493" xr:uid="{00000000-0005-0000-0000-0000D1000000}"/>
    <cellStyle name="쉼표 [0] 3 3 11" xfId="653" xr:uid="{00000000-0005-0000-0000-0000D2000000}"/>
    <cellStyle name="쉼표 [0] 3 3 2" xfId="18" xr:uid="{00000000-0005-0000-0000-0000D3000000}"/>
    <cellStyle name="쉼표 [0] 3 3 2 10" xfId="661" xr:uid="{00000000-0005-0000-0000-0000D4000000}"/>
    <cellStyle name="쉼표 [0] 3 3 2 2" xfId="26" xr:uid="{00000000-0005-0000-0000-0000D5000000}"/>
    <cellStyle name="쉼표 [0] 3 3 2 2 2" xfId="69" xr:uid="{00000000-0005-0000-0000-0000D6000000}"/>
    <cellStyle name="쉼표 [0] 3 3 2 2 2 2" xfId="229" xr:uid="{00000000-0005-0000-0000-0000D7000000}"/>
    <cellStyle name="쉼표 [0] 3 3 2 2 2 3" xfId="389" xr:uid="{00000000-0005-0000-0000-0000D8000000}"/>
    <cellStyle name="쉼표 [0] 3 3 2 2 2 4" xfId="549" xr:uid="{00000000-0005-0000-0000-0000D9000000}"/>
    <cellStyle name="쉼표 [0] 3 3 2 2 2 5" xfId="709" xr:uid="{00000000-0005-0000-0000-0000DA000000}"/>
    <cellStyle name="쉼표 [0] 3 3 2 2 3" xfId="101" xr:uid="{00000000-0005-0000-0000-0000DB000000}"/>
    <cellStyle name="쉼표 [0] 3 3 2 2 3 2" xfId="261" xr:uid="{00000000-0005-0000-0000-0000DC000000}"/>
    <cellStyle name="쉼표 [0] 3 3 2 2 3 3" xfId="421" xr:uid="{00000000-0005-0000-0000-0000DD000000}"/>
    <cellStyle name="쉼표 [0] 3 3 2 2 3 4" xfId="581" xr:uid="{00000000-0005-0000-0000-0000DE000000}"/>
    <cellStyle name="쉼표 [0] 3 3 2 2 3 5" xfId="741" xr:uid="{00000000-0005-0000-0000-0000DF000000}"/>
    <cellStyle name="쉼표 [0] 3 3 2 2 4" xfId="133" xr:uid="{00000000-0005-0000-0000-0000E0000000}"/>
    <cellStyle name="쉼표 [0] 3 3 2 2 4 2" xfId="293" xr:uid="{00000000-0005-0000-0000-0000E1000000}"/>
    <cellStyle name="쉼표 [0] 3 3 2 2 4 3" xfId="453" xr:uid="{00000000-0005-0000-0000-0000E2000000}"/>
    <cellStyle name="쉼표 [0] 3 3 2 2 4 4" xfId="613" xr:uid="{00000000-0005-0000-0000-0000E3000000}"/>
    <cellStyle name="쉼표 [0] 3 3 2 2 4 5" xfId="773" xr:uid="{00000000-0005-0000-0000-0000E4000000}"/>
    <cellStyle name="쉼표 [0] 3 3 2 2 5" xfId="165" xr:uid="{00000000-0005-0000-0000-0000E5000000}"/>
    <cellStyle name="쉼표 [0] 3 3 2 2 5 2" xfId="325" xr:uid="{00000000-0005-0000-0000-0000E6000000}"/>
    <cellStyle name="쉼표 [0] 3 3 2 2 5 3" xfId="485" xr:uid="{00000000-0005-0000-0000-0000E7000000}"/>
    <cellStyle name="쉼표 [0] 3 3 2 2 5 4" xfId="645" xr:uid="{00000000-0005-0000-0000-0000E8000000}"/>
    <cellStyle name="쉼표 [0] 3 3 2 2 5 5" xfId="805" xr:uid="{00000000-0005-0000-0000-0000E9000000}"/>
    <cellStyle name="쉼표 [0] 3 3 2 2 6" xfId="188" xr:uid="{00000000-0005-0000-0000-0000EA000000}"/>
    <cellStyle name="쉼표 [0] 3 3 2 2 7" xfId="348" xr:uid="{00000000-0005-0000-0000-0000EB000000}"/>
    <cellStyle name="쉼표 [0] 3 3 2 2 8" xfId="508" xr:uid="{00000000-0005-0000-0000-0000EC000000}"/>
    <cellStyle name="쉼표 [0] 3 3 2 2 9" xfId="668" xr:uid="{00000000-0005-0000-0000-0000ED000000}"/>
    <cellStyle name="쉼표 [0] 3 3 2 3" xfId="53" xr:uid="{00000000-0005-0000-0000-0000EE000000}"/>
    <cellStyle name="쉼표 [0] 3 3 2 3 2" xfId="213" xr:uid="{00000000-0005-0000-0000-0000EF000000}"/>
    <cellStyle name="쉼표 [0] 3 3 2 3 3" xfId="373" xr:uid="{00000000-0005-0000-0000-0000F0000000}"/>
    <cellStyle name="쉼표 [0] 3 3 2 3 4" xfId="533" xr:uid="{00000000-0005-0000-0000-0000F1000000}"/>
    <cellStyle name="쉼표 [0] 3 3 2 3 5" xfId="693" xr:uid="{00000000-0005-0000-0000-0000F2000000}"/>
    <cellStyle name="쉼표 [0] 3 3 2 4" xfId="85" xr:uid="{00000000-0005-0000-0000-0000F3000000}"/>
    <cellStyle name="쉼표 [0] 3 3 2 4 2" xfId="245" xr:uid="{00000000-0005-0000-0000-0000F4000000}"/>
    <cellStyle name="쉼표 [0] 3 3 2 4 3" xfId="405" xr:uid="{00000000-0005-0000-0000-0000F5000000}"/>
    <cellStyle name="쉼표 [0] 3 3 2 4 4" xfId="565" xr:uid="{00000000-0005-0000-0000-0000F6000000}"/>
    <cellStyle name="쉼표 [0] 3 3 2 4 5" xfId="725" xr:uid="{00000000-0005-0000-0000-0000F7000000}"/>
    <cellStyle name="쉼표 [0] 3 3 2 5" xfId="117" xr:uid="{00000000-0005-0000-0000-0000F8000000}"/>
    <cellStyle name="쉼표 [0] 3 3 2 5 2" xfId="277" xr:uid="{00000000-0005-0000-0000-0000F9000000}"/>
    <cellStyle name="쉼표 [0] 3 3 2 5 3" xfId="437" xr:uid="{00000000-0005-0000-0000-0000FA000000}"/>
    <cellStyle name="쉼표 [0] 3 3 2 5 4" xfId="597" xr:uid="{00000000-0005-0000-0000-0000FB000000}"/>
    <cellStyle name="쉼표 [0] 3 3 2 5 5" xfId="757" xr:uid="{00000000-0005-0000-0000-0000FC000000}"/>
    <cellStyle name="쉼표 [0] 3 3 2 6" xfId="149" xr:uid="{00000000-0005-0000-0000-0000FD000000}"/>
    <cellStyle name="쉼표 [0] 3 3 2 6 2" xfId="309" xr:uid="{00000000-0005-0000-0000-0000FE000000}"/>
    <cellStyle name="쉼표 [0] 3 3 2 6 3" xfId="469" xr:uid="{00000000-0005-0000-0000-0000FF000000}"/>
    <cellStyle name="쉼표 [0] 3 3 2 6 4" xfId="629" xr:uid="{00000000-0005-0000-0000-000000010000}"/>
    <cellStyle name="쉼표 [0] 3 3 2 6 5" xfId="789" xr:uid="{00000000-0005-0000-0000-000001010000}"/>
    <cellStyle name="쉼표 [0] 3 3 2 7" xfId="181" xr:uid="{00000000-0005-0000-0000-000002010000}"/>
    <cellStyle name="쉼표 [0] 3 3 2 8" xfId="341" xr:uid="{00000000-0005-0000-0000-000003010000}"/>
    <cellStyle name="쉼표 [0] 3 3 2 9" xfId="501" xr:uid="{00000000-0005-0000-0000-000004010000}"/>
    <cellStyle name="쉼표 [0] 3 3 3" xfId="27" xr:uid="{00000000-0005-0000-0000-000005010000}"/>
    <cellStyle name="쉼표 [0] 3 3 3 2" xfId="61" xr:uid="{00000000-0005-0000-0000-000006010000}"/>
    <cellStyle name="쉼표 [0] 3 3 3 2 2" xfId="221" xr:uid="{00000000-0005-0000-0000-000007010000}"/>
    <cellStyle name="쉼표 [0] 3 3 3 2 3" xfId="381" xr:uid="{00000000-0005-0000-0000-000008010000}"/>
    <cellStyle name="쉼표 [0] 3 3 3 2 4" xfId="541" xr:uid="{00000000-0005-0000-0000-000009010000}"/>
    <cellStyle name="쉼표 [0] 3 3 3 2 5" xfId="701" xr:uid="{00000000-0005-0000-0000-00000A010000}"/>
    <cellStyle name="쉼표 [0] 3 3 3 3" xfId="93" xr:uid="{00000000-0005-0000-0000-00000B010000}"/>
    <cellStyle name="쉼표 [0] 3 3 3 3 2" xfId="253" xr:uid="{00000000-0005-0000-0000-00000C010000}"/>
    <cellStyle name="쉼표 [0] 3 3 3 3 3" xfId="413" xr:uid="{00000000-0005-0000-0000-00000D010000}"/>
    <cellStyle name="쉼표 [0] 3 3 3 3 4" xfId="573" xr:uid="{00000000-0005-0000-0000-00000E010000}"/>
    <cellStyle name="쉼표 [0] 3 3 3 3 5" xfId="733" xr:uid="{00000000-0005-0000-0000-00000F010000}"/>
    <cellStyle name="쉼표 [0] 3 3 3 4" xfId="125" xr:uid="{00000000-0005-0000-0000-000010010000}"/>
    <cellStyle name="쉼표 [0] 3 3 3 4 2" xfId="285" xr:uid="{00000000-0005-0000-0000-000011010000}"/>
    <cellStyle name="쉼표 [0] 3 3 3 4 3" xfId="445" xr:uid="{00000000-0005-0000-0000-000012010000}"/>
    <cellStyle name="쉼표 [0] 3 3 3 4 4" xfId="605" xr:uid="{00000000-0005-0000-0000-000013010000}"/>
    <cellStyle name="쉼표 [0] 3 3 3 4 5" xfId="765" xr:uid="{00000000-0005-0000-0000-000014010000}"/>
    <cellStyle name="쉼표 [0] 3 3 3 5" xfId="157" xr:uid="{00000000-0005-0000-0000-000015010000}"/>
    <cellStyle name="쉼표 [0] 3 3 3 5 2" xfId="317" xr:uid="{00000000-0005-0000-0000-000016010000}"/>
    <cellStyle name="쉼표 [0] 3 3 3 5 3" xfId="477" xr:uid="{00000000-0005-0000-0000-000017010000}"/>
    <cellStyle name="쉼표 [0] 3 3 3 5 4" xfId="637" xr:uid="{00000000-0005-0000-0000-000018010000}"/>
    <cellStyle name="쉼표 [0] 3 3 3 5 5" xfId="797" xr:uid="{00000000-0005-0000-0000-000019010000}"/>
    <cellStyle name="쉼표 [0] 3 3 3 6" xfId="189" xr:uid="{00000000-0005-0000-0000-00001A010000}"/>
    <cellStyle name="쉼표 [0] 3 3 3 7" xfId="349" xr:uid="{00000000-0005-0000-0000-00001B010000}"/>
    <cellStyle name="쉼표 [0] 3 3 3 8" xfId="509" xr:uid="{00000000-0005-0000-0000-00001C010000}"/>
    <cellStyle name="쉼표 [0] 3 3 3 9" xfId="669" xr:uid="{00000000-0005-0000-0000-00001D010000}"/>
    <cellStyle name="쉼표 [0] 3 3 4" xfId="45" xr:uid="{00000000-0005-0000-0000-00001E010000}"/>
    <cellStyle name="쉼표 [0] 3 3 4 2" xfId="205" xr:uid="{00000000-0005-0000-0000-00001F010000}"/>
    <cellStyle name="쉼표 [0] 3 3 4 3" xfId="365" xr:uid="{00000000-0005-0000-0000-000020010000}"/>
    <cellStyle name="쉼표 [0] 3 3 4 4" xfId="525" xr:uid="{00000000-0005-0000-0000-000021010000}"/>
    <cellStyle name="쉼표 [0] 3 3 4 5" xfId="685" xr:uid="{00000000-0005-0000-0000-000022010000}"/>
    <cellStyle name="쉼표 [0] 3 3 5" xfId="77" xr:uid="{00000000-0005-0000-0000-000023010000}"/>
    <cellStyle name="쉼표 [0] 3 3 5 2" xfId="237" xr:uid="{00000000-0005-0000-0000-000024010000}"/>
    <cellStyle name="쉼표 [0] 3 3 5 3" xfId="397" xr:uid="{00000000-0005-0000-0000-000025010000}"/>
    <cellStyle name="쉼표 [0] 3 3 5 4" xfId="557" xr:uid="{00000000-0005-0000-0000-000026010000}"/>
    <cellStyle name="쉼표 [0] 3 3 5 5" xfId="717" xr:uid="{00000000-0005-0000-0000-000027010000}"/>
    <cellStyle name="쉼표 [0] 3 3 6" xfId="109" xr:uid="{00000000-0005-0000-0000-000028010000}"/>
    <cellStyle name="쉼표 [0] 3 3 6 2" xfId="269" xr:uid="{00000000-0005-0000-0000-000029010000}"/>
    <cellStyle name="쉼표 [0] 3 3 6 3" xfId="429" xr:uid="{00000000-0005-0000-0000-00002A010000}"/>
    <cellStyle name="쉼표 [0] 3 3 6 4" xfId="589" xr:uid="{00000000-0005-0000-0000-00002B010000}"/>
    <cellStyle name="쉼표 [0] 3 3 6 5" xfId="749" xr:uid="{00000000-0005-0000-0000-00002C010000}"/>
    <cellStyle name="쉼표 [0] 3 3 7" xfId="141" xr:uid="{00000000-0005-0000-0000-00002D010000}"/>
    <cellStyle name="쉼표 [0] 3 3 7 2" xfId="301" xr:uid="{00000000-0005-0000-0000-00002E010000}"/>
    <cellStyle name="쉼표 [0] 3 3 7 3" xfId="461" xr:uid="{00000000-0005-0000-0000-00002F010000}"/>
    <cellStyle name="쉼표 [0] 3 3 7 4" xfId="621" xr:uid="{00000000-0005-0000-0000-000030010000}"/>
    <cellStyle name="쉼표 [0] 3 3 7 5" xfId="781" xr:uid="{00000000-0005-0000-0000-000031010000}"/>
    <cellStyle name="쉼표 [0] 3 3 8" xfId="173" xr:uid="{00000000-0005-0000-0000-000032010000}"/>
    <cellStyle name="쉼표 [0] 3 3 9" xfId="333" xr:uid="{00000000-0005-0000-0000-000033010000}"/>
    <cellStyle name="쉼표 [0] 3 4" xfId="14" xr:uid="{00000000-0005-0000-0000-000034010000}"/>
    <cellStyle name="쉼표 [0] 3 4 10" xfId="657" xr:uid="{00000000-0005-0000-0000-000035010000}"/>
    <cellStyle name="쉼표 [0] 3 4 2" xfId="28" xr:uid="{00000000-0005-0000-0000-000036010000}"/>
    <cellStyle name="쉼표 [0] 3 4 2 2" xfId="65" xr:uid="{00000000-0005-0000-0000-000037010000}"/>
    <cellStyle name="쉼표 [0] 3 4 2 2 2" xfId="225" xr:uid="{00000000-0005-0000-0000-000038010000}"/>
    <cellStyle name="쉼표 [0] 3 4 2 2 3" xfId="385" xr:uid="{00000000-0005-0000-0000-000039010000}"/>
    <cellStyle name="쉼표 [0] 3 4 2 2 4" xfId="545" xr:uid="{00000000-0005-0000-0000-00003A010000}"/>
    <cellStyle name="쉼표 [0] 3 4 2 2 5" xfId="705" xr:uid="{00000000-0005-0000-0000-00003B010000}"/>
    <cellStyle name="쉼표 [0] 3 4 2 3" xfId="97" xr:uid="{00000000-0005-0000-0000-00003C010000}"/>
    <cellStyle name="쉼표 [0] 3 4 2 3 2" xfId="257" xr:uid="{00000000-0005-0000-0000-00003D010000}"/>
    <cellStyle name="쉼표 [0] 3 4 2 3 3" xfId="417" xr:uid="{00000000-0005-0000-0000-00003E010000}"/>
    <cellStyle name="쉼표 [0] 3 4 2 3 4" xfId="577" xr:uid="{00000000-0005-0000-0000-00003F010000}"/>
    <cellStyle name="쉼표 [0] 3 4 2 3 5" xfId="737" xr:uid="{00000000-0005-0000-0000-000040010000}"/>
    <cellStyle name="쉼표 [0] 3 4 2 4" xfId="129" xr:uid="{00000000-0005-0000-0000-000041010000}"/>
    <cellStyle name="쉼표 [0] 3 4 2 4 2" xfId="289" xr:uid="{00000000-0005-0000-0000-000042010000}"/>
    <cellStyle name="쉼표 [0] 3 4 2 4 3" xfId="449" xr:uid="{00000000-0005-0000-0000-000043010000}"/>
    <cellStyle name="쉼표 [0] 3 4 2 4 4" xfId="609" xr:uid="{00000000-0005-0000-0000-000044010000}"/>
    <cellStyle name="쉼표 [0] 3 4 2 4 5" xfId="769" xr:uid="{00000000-0005-0000-0000-000045010000}"/>
    <cellStyle name="쉼표 [0] 3 4 2 5" xfId="161" xr:uid="{00000000-0005-0000-0000-000046010000}"/>
    <cellStyle name="쉼표 [0] 3 4 2 5 2" xfId="321" xr:uid="{00000000-0005-0000-0000-000047010000}"/>
    <cellStyle name="쉼표 [0] 3 4 2 5 3" xfId="481" xr:uid="{00000000-0005-0000-0000-000048010000}"/>
    <cellStyle name="쉼표 [0] 3 4 2 5 4" xfId="641" xr:uid="{00000000-0005-0000-0000-000049010000}"/>
    <cellStyle name="쉼표 [0] 3 4 2 5 5" xfId="801" xr:uid="{00000000-0005-0000-0000-00004A010000}"/>
    <cellStyle name="쉼표 [0] 3 4 2 6" xfId="190" xr:uid="{00000000-0005-0000-0000-00004B010000}"/>
    <cellStyle name="쉼표 [0] 3 4 2 7" xfId="350" xr:uid="{00000000-0005-0000-0000-00004C010000}"/>
    <cellStyle name="쉼표 [0] 3 4 2 8" xfId="510" xr:uid="{00000000-0005-0000-0000-00004D010000}"/>
    <cellStyle name="쉼표 [0] 3 4 2 9" xfId="670" xr:uid="{00000000-0005-0000-0000-00004E010000}"/>
    <cellStyle name="쉼표 [0] 3 4 3" xfId="49" xr:uid="{00000000-0005-0000-0000-00004F010000}"/>
    <cellStyle name="쉼표 [0] 3 4 3 2" xfId="209" xr:uid="{00000000-0005-0000-0000-000050010000}"/>
    <cellStyle name="쉼표 [0] 3 4 3 3" xfId="369" xr:uid="{00000000-0005-0000-0000-000051010000}"/>
    <cellStyle name="쉼표 [0] 3 4 3 4" xfId="529" xr:uid="{00000000-0005-0000-0000-000052010000}"/>
    <cellStyle name="쉼표 [0] 3 4 3 5" xfId="689" xr:uid="{00000000-0005-0000-0000-000053010000}"/>
    <cellStyle name="쉼표 [0] 3 4 4" xfId="81" xr:uid="{00000000-0005-0000-0000-000054010000}"/>
    <cellStyle name="쉼표 [0] 3 4 4 2" xfId="241" xr:uid="{00000000-0005-0000-0000-000055010000}"/>
    <cellStyle name="쉼표 [0] 3 4 4 3" xfId="401" xr:uid="{00000000-0005-0000-0000-000056010000}"/>
    <cellStyle name="쉼표 [0] 3 4 4 4" xfId="561" xr:uid="{00000000-0005-0000-0000-000057010000}"/>
    <cellStyle name="쉼표 [0] 3 4 4 5" xfId="721" xr:uid="{00000000-0005-0000-0000-000058010000}"/>
    <cellStyle name="쉼표 [0] 3 4 5" xfId="113" xr:uid="{00000000-0005-0000-0000-000059010000}"/>
    <cellStyle name="쉼표 [0] 3 4 5 2" xfId="273" xr:uid="{00000000-0005-0000-0000-00005A010000}"/>
    <cellStyle name="쉼표 [0] 3 4 5 3" xfId="433" xr:uid="{00000000-0005-0000-0000-00005B010000}"/>
    <cellStyle name="쉼표 [0] 3 4 5 4" xfId="593" xr:uid="{00000000-0005-0000-0000-00005C010000}"/>
    <cellStyle name="쉼표 [0] 3 4 5 5" xfId="753" xr:uid="{00000000-0005-0000-0000-00005D010000}"/>
    <cellStyle name="쉼표 [0] 3 4 6" xfId="145" xr:uid="{00000000-0005-0000-0000-00005E010000}"/>
    <cellStyle name="쉼표 [0] 3 4 6 2" xfId="305" xr:uid="{00000000-0005-0000-0000-00005F010000}"/>
    <cellStyle name="쉼표 [0] 3 4 6 3" xfId="465" xr:uid="{00000000-0005-0000-0000-000060010000}"/>
    <cellStyle name="쉼표 [0] 3 4 6 4" xfId="625" xr:uid="{00000000-0005-0000-0000-000061010000}"/>
    <cellStyle name="쉼표 [0] 3 4 6 5" xfId="785" xr:uid="{00000000-0005-0000-0000-000062010000}"/>
    <cellStyle name="쉼표 [0] 3 4 7" xfId="177" xr:uid="{00000000-0005-0000-0000-000063010000}"/>
    <cellStyle name="쉼표 [0] 3 4 8" xfId="337" xr:uid="{00000000-0005-0000-0000-000064010000}"/>
    <cellStyle name="쉼표 [0] 3 4 9" xfId="497" xr:uid="{00000000-0005-0000-0000-000065010000}"/>
    <cellStyle name="쉼표 [0] 3 5" xfId="29" xr:uid="{00000000-0005-0000-0000-000066010000}"/>
    <cellStyle name="쉼표 [0] 3 5 2" xfId="57" xr:uid="{00000000-0005-0000-0000-000067010000}"/>
    <cellStyle name="쉼표 [0] 3 5 2 2" xfId="217" xr:uid="{00000000-0005-0000-0000-000068010000}"/>
    <cellStyle name="쉼표 [0] 3 5 2 3" xfId="377" xr:uid="{00000000-0005-0000-0000-000069010000}"/>
    <cellStyle name="쉼표 [0] 3 5 2 4" xfId="537" xr:uid="{00000000-0005-0000-0000-00006A010000}"/>
    <cellStyle name="쉼표 [0] 3 5 2 5" xfId="697" xr:uid="{00000000-0005-0000-0000-00006B010000}"/>
    <cellStyle name="쉼표 [0] 3 5 3" xfId="89" xr:uid="{00000000-0005-0000-0000-00006C010000}"/>
    <cellStyle name="쉼표 [0] 3 5 3 2" xfId="249" xr:uid="{00000000-0005-0000-0000-00006D010000}"/>
    <cellStyle name="쉼표 [0] 3 5 3 3" xfId="409" xr:uid="{00000000-0005-0000-0000-00006E010000}"/>
    <cellStyle name="쉼표 [0] 3 5 3 4" xfId="569" xr:uid="{00000000-0005-0000-0000-00006F010000}"/>
    <cellStyle name="쉼표 [0] 3 5 3 5" xfId="729" xr:uid="{00000000-0005-0000-0000-000070010000}"/>
    <cellStyle name="쉼표 [0] 3 5 4" xfId="121" xr:uid="{00000000-0005-0000-0000-000071010000}"/>
    <cellStyle name="쉼표 [0] 3 5 4 2" xfId="281" xr:uid="{00000000-0005-0000-0000-000072010000}"/>
    <cellStyle name="쉼표 [0] 3 5 4 3" xfId="441" xr:uid="{00000000-0005-0000-0000-000073010000}"/>
    <cellStyle name="쉼표 [0] 3 5 4 4" xfId="601" xr:uid="{00000000-0005-0000-0000-000074010000}"/>
    <cellStyle name="쉼표 [0] 3 5 4 5" xfId="761" xr:uid="{00000000-0005-0000-0000-000075010000}"/>
    <cellStyle name="쉼표 [0] 3 5 5" xfId="153" xr:uid="{00000000-0005-0000-0000-000076010000}"/>
    <cellStyle name="쉼표 [0] 3 5 5 2" xfId="313" xr:uid="{00000000-0005-0000-0000-000077010000}"/>
    <cellStyle name="쉼표 [0] 3 5 5 3" xfId="473" xr:uid="{00000000-0005-0000-0000-000078010000}"/>
    <cellStyle name="쉼표 [0] 3 5 5 4" xfId="633" xr:uid="{00000000-0005-0000-0000-000079010000}"/>
    <cellStyle name="쉼표 [0] 3 5 5 5" xfId="793" xr:uid="{00000000-0005-0000-0000-00007A010000}"/>
    <cellStyle name="쉼표 [0] 3 5 6" xfId="191" xr:uid="{00000000-0005-0000-0000-00007B010000}"/>
    <cellStyle name="쉼표 [0] 3 5 7" xfId="351" xr:uid="{00000000-0005-0000-0000-00007C010000}"/>
    <cellStyle name="쉼표 [0] 3 5 8" xfId="511" xr:uid="{00000000-0005-0000-0000-00007D010000}"/>
    <cellStyle name="쉼표 [0] 3 5 9" xfId="671" xr:uid="{00000000-0005-0000-0000-00007E010000}"/>
    <cellStyle name="쉼표 [0] 3 6" xfId="41" xr:uid="{00000000-0005-0000-0000-00007F010000}"/>
    <cellStyle name="쉼표 [0] 3 6 2" xfId="201" xr:uid="{00000000-0005-0000-0000-000080010000}"/>
    <cellStyle name="쉼표 [0] 3 6 3" xfId="361" xr:uid="{00000000-0005-0000-0000-000081010000}"/>
    <cellStyle name="쉼표 [0] 3 6 4" xfId="521" xr:uid="{00000000-0005-0000-0000-000082010000}"/>
    <cellStyle name="쉼표 [0] 3 6 5" xfId="681" xr:uid="{00000000-0005-0000-0000-000083010000}"/>
    <cellStyle name="쉼표 [0] 3 7" xfId="73" xr:uid="{00000000-0005-0000-0000-000084010000}"/>
    <cellStyle name="쉼표 [0] 3 7 2" xfId="233" xr:uid="{00000000-0005-0000-0000-000085010000}"/>
    <cellStyle name="쉼표 [0] 3 7 3" xfId="393" xr:uid="{00000000-0005-0000-0000-000086010000}"/>
    <cellStyle name="쉼표 [0] 3 7 4" xfId="553" xr:uid="{00000000-0005-0000-0000-000087010000}"/>
    <cellStyle name="쉼표 [0] 3 7 5" xfId="713" xr:uid="{00000000-0005-0000-0000-000088010000}"/>
    <cellStyle name="쉼표 [0] 3 8" xfId="105" xr:uid="{00000000-0005-0000-0000-000089010000}"/>
    <cellStyle name="쉼표 [0] 3 8 2" xfId="265" xr:uid="{00000000-0005-0000-0000-00008A010000}"/>
    <cellStyle name="쉼표 [0] 3 8 3" xfId="425" xr:uid="{00000000-0005-0000-0000-00008B010000}"/>
    <cellStyle name="쉼표 [0] 3 8 4" xfId="585" xr:uid="{00000000-0005-0000-0000-00008C010000}"/>
    <cellStyle name="쉼표 [0] 3 8 5" xfId="745" xr:uid="{00000000-0005-0000-0000-00008D010000}"/>
    <cellStyle name="쉼표 [0] 3 9" xfId="137" xr:uid="{00000000-0005-0000-0000-00008E010000}"/>
    <cellStyle name="쉼표 [0] 3 9 2" xfId="297" xr:uid="{00000000-0005-0000-0000-00008F010000}"/>
    <cellStyle name="쉼표 [0] 3 9 3" xfId="457" xr:uid="{00000000-0005-0000-0000-000090010000}"/>
    <cellStyle name="쉼표 [0] 3 9 4" xfId="617" xr:uid="{00000000-0005-0000-0000-000091010000}"/>
    <cellStyle name="쉼표 [0] 3 9 5" xfId="777" xr:uid="{00000000-0005-0000-0000-000092010000}"/>
    <cellStyle name="쉼표 [0] 4" xfId="30" xr:uid="{00000000-0005-0000-0000-000093010000}"/>
    <cellStyle name="쉼표 2" xfId="6" xr:uid="{00000000-0005-0000-0000-000094010000}"/>
    <cellStyle name="쉼표 2 2" xfId="31" xr:uid="{00000000-0005-0000-0000-000095010000}"/>
    <cellStyle name="표준" xfId="0" builtinId="0"/>
    <cellStyle name="표준 2" xfId="4" xr:uid="{00000000-0005-0000-0000-000097010000}"/>
    <cellStyle name="표준 3" xfId="2" xr:uid="{00000000-0005-0000-0000-000098010000}"/>
    <cellStyle name="표준 3 10" xfId="168" xr:uid="{00000000-0005-0000-0000-000099010000}"/>
    <cellStyle name="표준 3 11" xfId="328" xr:uid="{00000000-0005-0000-0000-00009A010000}"/>
    <cellStyle name="표준 3 12" xfId="488" xr:uid="{00000000-0005-0000-0000-00009B010000}"/>
    <cellStyle name="표준 3 13" xfId="648" xr:uid="{00000000-0005-0000-0000-00009C010000}"/>
    <cellStyle name="표준 3 2" xfId="7" xr:uid="{00000000-0005-0000-0000-00009D010000}"/>
    <cellStyle name="표준 3 2 10" xfId="330" xr:uid="{00000000-0005-0000-0000-00009E010000}"/>
    <cellStyle name="표준 3 2 11" xfId="490" xr:uid="{00000000-0005-0000-0000-00009F010000}"/>
    <cellStyle name="표준 3 2 12" xfId="650" xr:uid="{00000000-0005-0000-0000-0000A0010000}"/>
    <cellStyle name="표준 3 2 2" xfId="11" xr:uid="{00000000-0005-0000-0000-0000A1010000}"/>
    <cellStyle name="표준 3 2 2 10" xfId="494" xr:uid="{00000000-0005-0000-0000-0000A2010000}"/>
    <cellStyle name="표준 3 2 2 11" xfId="654" xr:uid="{00000000-0005-0000-0000-0000A3010000}"/>
    <cellStyle name="표준 3 2 2 2" xfId="19" xr:uid="{00000000-0005-0000-0000-0000A4010000}"/>
    <cellStyle name="표준 3 2 2 2 10" xfId="662" xr:uid="{00000000-0005-0000-0000-0000A5010000}"/>
    <cellStyle name="표준 3 2 2 2 2" xfId="32" xr:uid="{00000000-0005-0000-0000-0000A6010000}"/>
    <cellStyle name="표준 3 2 2 2 2 2" xfId="70" xr:uid="{00000000-0005-0000-0000-0000A7010000}"/>
    <cellStyle name="표준 3 2 2 2 2 2 2" xfId="230" xr:uid="{00000000-0005-0000-0000-0000A8010000}"/>
    <cellStyle name="표준 3 2 2 2 2 2 3" xfId="390" xr:uid="{00000000-0005-0000-0000-0000A9010000}"/>
    <cellStyle name="표준 3 2 2 2 2 2 4" xfId="550" xr:uid="{00000000-0005-0000-0000-0000AA010000}"/>
    <cellStyle name="표준 3 2 2 2 2 2 5" xfId="710" xr:uid="{00000000-0005-0000-0000-0000AB010000}"/>
    <cellStyle name="표준 3 2 2 2 2 3" xfId="102" xr:uid="{00000000-0005-0000-0000-0000AC010000}"/>
    <cellStyle name="표준 3 2 2 2 2 3 2" xfId="262" xr:uid="{00000000-0005-0000-0000-0000AD010000}"/>
    <cellStyle name="표준 3 2 2 2 2 3 3" xfId="422" xr:uid="{00000000-0005-0000-0000-0000AE010000}"/>
    <cellStyle name="표준 3 2 2 2 2 3 4" xfId="582" xr:uid="{00000000-0005-0000-0000-0000AF010000}"/>
    <cellStyle name="표준 3 2 2 2 2 3 5" xfId="742" xr:uid="{00000000-0005-0000-0000-0000B0010000}"/>
    <cellStyle name="표준 3 2 2 2 2 4" xfId="134" xr:uid="{00000000-0005-0000-0000-0000B1010000}"/>
    <cellStyle name="표준 3 2 2 2 2 4 2" xfId="294" xr:uid="{00000000-0005-0000-0000-0000B2010000}"/>
    <cellStyle name="표준 3 2 2 2 2 4 3" xfId="454" xr:uid="{00000000-0005-0000-0000-0000B3010000}"/>
    <cellStyle name="표준 3 2 2 2 2 4 4" xfId="614" xr:uid="{00000000-0005-0000-0000-0000B4010000}"/>
    <cellStyle name="표준 3 2 2 2 2 4 5" xfId="774" xr:uid="{00000000-0005-0000-0000-0000B5010000}"/>
    <cellStyle name="표준 3 2 2 2 2 5" xfId="166" xr:uid="{00000000-0005-0000-0000-0000B6010000}"/>
    <cellStyle name="표준 3 2 2 2 2 5 2" xfId="326" xr:uid="{00000000-0005-0000-0000-0000B7010000}"/>
    <cellStyle name="표준 3 2 2 2 2 5 3" xfId="486" xr:uid="{00000000-0005-0000-0000-0000B8010000}"/>
    <cellStyle name="표준 3 2 2 2 2 5 4" xfId="646" xr:uid="{00000000-0005-0000-0000-0000B9010000}"/>
    <cellStyle name="표준 3 2 2 2 2 5 5" xfId="806" xr:uid="{00000000-0005-0000-0000-0000BA010000}"/>
    <cellStyle name="표준 3 2 2 2 2 6" xfId="192" xr:uid="{00000000-0005-0000-0000-0000BB010000}"/>
    <cellStyle name="표준 3 2 2 2 2 7" xfId="352" xr:uid="{00000000-0005-0000-0000-0000BC010000}"/>
    <cellStyle name="표준 3 2 2 2 2 8" xfId="512" xr:uid="{00000000-0005-0000-0000-0000BD010000}"/>
    <cellStyle name="표준 3 2 2 2 2 9" xfId="672" xr:uid="{00000000-0005-0000-0000-0000BE010000}"/>
    <cellStyle name="표준 3 2 2 2 3" xfId="54" xr:uid="{00000000-0005-0000-0000-0000BF010000}"/>
    <cellStyle name="표준 3 2 2 2 3 2" xfId="214" xr:uid="{00000000-0005-0000-0000-0000C0010000}"/>
    <cellStyle name="표준 3 2 2 2 3 3" xfId="374" xr:uid="{00000000-0005-0000-0000-0000C1010000}"/>
    <cellStyle name="표준 3 2 2 2 3 4" xfId="534" xr:uid="{00000000-0005-0000-0000-0000C2010000}"/>
    <cellStyle name="표준 3 2 2 2 3 5" xfId="694" xr:uid="{00000000-0005-0000-0000-0000C3010000}"/>
    <cellStyle name="표준 3 2 2 2 4" xfId="86" xr:uid="{00000000-0005-0000-0000-0000C4010000}"/>
    <cellStyle name="표준 3 2 2 2 4 2" xfId="246" xr:uid="{00000000-0005-0000-0000-0000C5010000}"/>
    <cellStyle name="표준 3 2 2 2 4 3" xfId="406" xr:uid="{00000000-0005-0000-0000-0000C6010000}"/>
    <cellStyle name="표준 3 2 2 2 4 4" xfId="566" xr:uid="{00000000-0005-0000-0000-0000C7010000}"/>
    <cellStyle name="표준 3 2 2 2 4 5" xfId="726" xr:uid="{00000000-0005-0000-0000-0000C8010000}"/>
    <cellStyle name="표준 3 2 2 2 5" xfId="118" xr:uid="{00000000-0005-0000-0000-0000C9010000}"/>
    <cellStyle name="표준 3 2 2 2 5 2" xfId="278" xr:uid="{00000000-0005-0000-0000-0000CA010000}"/>
    <cellStyle name="표준 3 2 2 2 5 3" xfId="438" xr:uid="{00000000-0005-0000-0000-0000CB010000}"/>
    <cellStyle name="표준 3 2 2 2 5 4" xfId="598" xr:uid="{00000000-0005-0000-0000-0000CC010000}"/>
    <cellStyle name="표준 3 2 2 2 5 5" xfId="758" xr:uid="{00000000-0005-0000-0000-0000CD010000}"/>
    <cellStyle name="표준 3 2 2 2 6" xfId="150" xr:uid="{00000000-0005-0000-0000-0000CE010000}"/>
    <cellStyle name="표준 3 2 2 2 6 2" xfId="310" xr:uid="{00000000-0005-0000-0000-0000CF010000}"/>
    <cellStyle name="표준 3 2 2 2 6 3" xfId="470" xr:uid="{00000000-0005-0000-0000-0000D0010000}"/>
    <cellStyle name="표준 3 2 2 2 6 4" xfId="630" xr:uid="{00000000-0005-0000-0000-0000D1010000}"/>
    <cellStyle name="표준 3 2 2 2 6 5" xfId="790" xr:uid="{00000000-0005-0000-0000-0000D2010000}"/>
    <cellStyle name="표준 3 2 2 2 7" xfId="182" xr:uid="{00000000-0005-0000-0000-0000D3010000}"/>
    <cellStyle name="표준 3 2 2 2 8" xfId="342" xr:uid="{00000000-0005-0000-0000-0000D4010000}"/>
    <cellStyle name="표준 3 2 2 2 9" xfId="502" xr:uid="{00000000-0005-0000-0000-0000D5010000}"/>
    <cellStyle name="표준 3 2 2 3" xfId="33" xr:uid="{00000000-0005-0000-0000-0000D6010000}"/>
    <cellStyle name="표준 3 2 2 3 2" xfId="62" xr:uid="{00000000-0005-0000-0000-0000D7010000}"/>
    <cellStyle name="표준 3 2 2 3 2 2" xfId="222" xr:uid="{00000000-0005-0000-0000-0000D8010000}"/>
    <cellStyle name="표준 3 2 2 3 2 3" xfId="382" xr:uid="{00000000-0005-0000-0000-0000D9010000}"/>
    <cellStyle name="표준 3 2 2 3 2 4" xfId="542" xr:uid="{00000000-0005-0000-0000-0000DA010000}"/>
    <cellStyle name="표준 3 2 2 3 2 5" xfId="702" xr:uid="{00000000-0005-0000-0000-0000DB010000}"/>
    <cellStyle name="표준 3 2 2 3 3" xfId="94" xr:uid="{00000000-0005-0000-0000-0000DC010000}"/>
    <cellStyle name="표준 3 2 2 3 3 2" xfId="254" xr:uid="{00000000-0005-0000-0000-0000DD010000}"/>
    <cellStyle name="표준 3 2 2 3 3 3" xfId="414" xr:uid="{00000000-0005-0000-0000-0000DE010000}"/>
    <cellStyle name="표준 3 2 2 3 3 4" xfId="574" xr:uid="{00000000-0005-0000-0000-0000DF010000}"/>
    <cellStyle name="표준 3 2 2 3 3 5" xfId="734" xr:uid="{00000000-0005-0000-0000-0000E0010000}"/>
    <cellStyle name="표준 3 2 2 3 4" xfId="126" xr:uid="{00000000-0005-0000-0000-0000E1010000}"/>
    <cellStyle name="표준 3 2 2 3 4 2" xfId="286" xr:uid="{00000000-0005-0000-0000-0000E2010000}"/>
    <cellStyle name="표준 3 2 2 3 4 3" xfId="446" xr:uid="{00000000-0005-0000-0000-0000E3010000}"/>
    <cellStyle name="표준 3 2 2 3 4 4" xfId="606" xr:uid="{00000000-0005-0000-0000-0000E4010000}"/>
    <cellStyle name="표준 3 2 2 3 4 5" xfId="766" xr:uid="{00000000-0005-0000-0000-0000E5010000}"/>
    <cellStyle name="표준 3 2 2 3 5" xfId="158" xr:uid="{00000000-0005-0000-0000-0000E6010000}"/>
    <cellStyle name="표준 3 2 2 3 5 2" xfId="318" xr:uid="{00000000-0005-0000-0000-0000E7010000}"/>
    <cellStyle name="표준 3 2 2 3 5 3" xfId="478" xr:uid="{00000000-0005-0000-0000-0000E8010000}"/>
    <cellStyle name="표준 3 2 2 3 5 4" xfId="638" xr:uid="{00000000-0005-0000-0000-0000E9010000}"/>
    <cellStyle name="표준 3 2 2 3 5 5" xfId="798" xr:uid="{00000000-0005-0000-0000-0000EA010000}"/>
    <cellStyle name="표준 3 2 2 3 6" xfId="193" xr:uid="{00000000-0005-0000-0000-0000EB010000}"/>
    <cellStyle name="표준 3 2 2 3 7" xfId="353" xr:uid="{00000000-0005-0000-0000-0000EC010000}"/>
    <cellStyle name="표준 3 2 2 3 8" xfId="513" xr:uid="{00000000-0005-0000-0000-0000ED010000}"/>
    <cellStyle name="표준 3 2 2 3 9" xfId="673" xr:uid="{00000000-0005-0000-0000-0000EE010000}"/>
    <cellStyle name="표준 3 2 2 4" xfId="46" xr:uid="{00000000-0005-0000-0000-0000EF010000}"/>
    <cellStyle name="표준 3 2 2 4 2" xfId="206" xr:uid="{00000000-0005-0000-0000-0000F0010000}"/>
    <cellStyle name="표준 3 2 2 4 3" xfId="366" xr:uid="{00000000-0005-0000-0000-0000F1010000}"/>
    <cellStyle name="표준 3 2 2 4 4" xfId="526" xr:uid="{00000000-0005-0000-0000-0000F2010000}"/>
    <cellStyle name="표준 3 2 2 4 5" xfId="686" xr:uid="{00000000-0005-0000-0000-0000F3010000}"/>
    <cellStyle name="표준 3 2 2 5" xfId="78" xr:uid="{00000000-0005-0000-0000-0000F4010000}"/>
    <cellStyle name="표준 3 2 2 5 2" xfId="238" xr:uid="{00000000-0005-0000-0000-0000F5010000}"/>
    <cellStyle name="표준 3 2 2 5 3" xfId="398" xr:uid="{00000000-0005-0000-0000-0000F6010000}"/>
    <cellStyle name="표준 3 2 2 5 4" xfId="558" xr:uid="{00000000-0005-0000-0000-0000F7010000}"/>
    <cellStyle name="표준 3 2 2 5 5" xfId="718" xr:uid="{00000000-0005-0000-0000-0000F8010000}"/>
    <cellStyle name="표준 3 2 2 6" xfId="110" xr:uid="{00000000-0005-0000-0000-0000F9010000}"/>
    <cellStyle name="표준 3 2 2 6 2" xfId="270" xr:uid="{00000000-0005-0000-0000-0000FA010000}"/>
    <cellStyle name="표준 3 2 2 6 3" xfId="430" xr:uid="{00000000-0005-0000-0000-0000FB010000}"/>
    <cellStyle name="표준 3 2 2 6 4" xfId="590" xr:uid="{00000000-0005-0000-0000-0000FC010000}"/>
    <cellStyle name="표준 3 2 2 6 5" xfId="750" xr:uid="{00000000-0005-0000-0000-0000FD010000}"/>
    <cellStyle name="표준 3 2 2 7" xfId="142" xr:uid="{00000000-0005-0000-0000-0000FE010000}"/>
    <cellStyle name="표준 3 2 2 7 2" xfId="302" xr:uid="{00000000-0005-0000-0000-0000FF010000}"/>
    <cellStyle name="표준 3 2 2 7 3" xfId="462" xr:uid="{00000000-0005-0000-0000-000000020000}"/>
    <cellStyle name="표준 3 2 2 7 4" xfId="622" xr:uid="{00000000-0005-0000-0000-000001020000}"/>
    <cellStyle name="표준 3 2 2 7 5" xfId="782" xr:uid="{00000000-0005-0000-0000-000002020000}"/>
    <cellStyle name="표준 3 2 2 8" xfId="174" xr:uid="{00000000-0005-0000-0000-000003020000}"/>
    <cellStyle name="표준 3 2 2 9" xfId="334" xr:uid="{00000000-0005-0000-0000-000004020000}"/>
    <cellStyle name="표준 3 2 3" xfId="15" xr:uid="{00000000-0005-0000-0000-000005020000}"/>
    <cellStyle name="표준 3 2 3 10" xfId="658" xr:uid="{00000000-0005-0000-0000-000006020000}"/>
    <cellStyle name="표준 3 2 3 2" xfId="34" xr:uid="{00000000-0005-0000-0000-000007020000}"/>
    <cellStyle name="표준 3 2 3 2 2" xfId="66" xr:uid="{00000000-0005-0000-0000-000008020000}"/>
    <cellStyle name="표준 3 2 3 2 2 2" xfId="226" xr:uid="{00000000-0005-0000-0000-000009020000}"/>
    <cellStyle name="표준 3 2 3 2 2 3" xfId="386" xr:uid="{00000000-0005-0000-0000-00000A020000}"/>
    <cellStyle name="표준 3 2 3 2 2 4" xfId="546" xr:uid="{00000000-0005-0000-0000-00000B020000}"/>
    <cellStyle name="표준 3 2 3 2 2 5" xfId="706" xr:uid="{00000000-0005-0000-0000-00000C020000}"/>
    <cellStyle name="표준 3 2 3 2 3" xfId="98" xr:uid="{00000000-0005-0000-0000-00000D020000}"/>
    <cellStyle name="표준 3 2 3 2 3 2" xfId="258" xr:uid="{00000000-0005-0000-0000-00000E020000}"/>
    <cellStyle name="표준 3 2 3 2 3 3" xfId="418" xr:uid="{00000000-0005-0000-0000-00000F020000}"/>
    <cellStyle name="표준 3 2 3 2 3 4" xfId="578" xr:uid="{00000000-0005-0000-0000-000010020000}"/>
    <cellStyle name="표준 3 2 3 2 3 5" xfId="738" xr:uid="{00000000-0005-0000-0000-000011020000}"/>
    <cellStyle name="표준 3 2 3 2 4" xfId="130" xr:uid="{00000000-0005-0000-0000-000012020000}"/>
    <cellStyle name="표준 3 2 3 2 4 2" xfId="290" xr:uid="{00000000-0005-0000-0000-000013020000}"/>
    <cellStyle name="표준 3 2 3 2 4 3" xfId="450" xr:uid="{00000000-0005-0000-0000-000014020000}"/>
    <cellStyle name="표준 3 2 3 2 4 4" xfId="610" xr:uid="{00000000-0005-0000-0000-000015020000}"/>
    <cellStyle name="표준 3 2 3 2 4 5" xfId="770" xr:uid="{00000000-0005-0000-0000-000016020000}"/>
    <cellStyle name="표준 3 2 3 2 5" xfId="162" xr:uid="{00000000-0005-0000-0000-000017020000}"/>
    <cellStyle name="표준 3 2 3 2 5 2" xfId="322" xr:uid="{00000000-0005-0000-0000-000018020000}"/>
    <cellStyle name="표준 3 2 3 2 5 3" xfId="482" xr:uid="{00000000-0005-0000-0000-000019020000}"/>
    <cellStyle name="표준 3 2 3 2 5 4" xfId="642" xr:uid="{00000000-0005-0000-0000-00001A020000}"/>
    <cellStyle name="표준 3 2 3 2 5 5" xfId="802" xr:uid="{00000000-0005-0000-0000-00001B020000}"/>
    <cellStyle name="표준 3 2 3 2 6" xfId="194" xr:uid="{00000000-0005-0000-0000-00001C020000}"/>
    <cellStyle name="표준 3 2 3 2 7" xfId="354" xr:uid="{00000000-0005-0000-0000-00001D020000}"/>
    <cellStyle name="표준 3 2 3 2 8" xfId="514" xr:uid="{00000000-0005-0000-0000-00001E020000}"/>
    <cellStyle name="표준 3 2 3 2 9" xfId="674" xr:uid="{00000000-0005-0000-0000-00001F020000}"/>
    <cellStyle name="표준 3 2 3 3" xfId="50" xr:uid="{00000000-0005-0000-0000-000020020000}"/>
    <cellStyle name="표준 3 2 3 3 2" xfId="210" xr:uid="{00000000-0005-0000-0000-000021020000}"/>
    <cellStyle name="표준 3 2 3 3 3" xfId="370" xr:uid="{00000000-0005-0000-0000-000022020000}"/>
    <cellStyle name="표준 3 2 3 3 4" xfId="530" xr:uid="{00000000-0005-0000-0000-000023020000}"/>
    <cellStyle name="표준 3 2 3 3 5" xfId="690" xr:uid="{00000000-0005-0000-0000-000024020000}"/>
    <cellStyle name="표준 3 2 3 4" xfId="82" xr:uid="{00000000-0005-0000-0000-000025020000}"/>
    <cellStyle name="표준 3 2 3 4 2" xfId="242" xr:uid="{00000000-0005-0000-0000-000026020000}"/>
    <cellStyle name="표준 3 2 3 4 3" xfId="402" xr:uid="{00000000-0005-0000-0000-000027020000}"/>
    <cellStyle name="표준 3 2 3 4 4" xfId="562" xr:uid="{00000000-0005-0000-0000-000028020000}"/>
    <cellStyle name="표준 3 2 3 4 5" xfId="722" xr:uid="{00000000-0005-0000-0000-000029020000}"/>
    <cellStyle name="표준 3 2 3 5" xfId="114" xr:uid="{00000000-0005-0000-0000-00002A020000}"/>
    <cellStyle name="표준 3 2 3 5 2" xfId="274" xr:uid="{00000000-0005-0000-0000-00002B020000}"/>
    <cellStyle name="표준 3 2 3 5 3" xfId="434" xr:uid="{00000000-0005-0000-0000-00002C020000}"/>
    <cellStyle name="표준 3 2 3 5 4" xfId="594" xr:uid="{00000000-0005-0000-0000-00002D020000}"/>
    <cellStyle name="표준 3 2 3 5 5" xfId="754" xr:uid="{00000000-0005-0000-0000-00002E020000}"/>
    <cellStyle name="표준 3 2 3 6" xfId="146" xr:uid="{00000000-0005-0000-0000-00002F020000}"/>
    <cellStyle name="표준 3 2 3 6 2" xfId="306" xr:uid="{00000000-0005-0000-0000-000030020000}"/>
    <cellStyle name="표준 3 2 3 6 3" xfId="466" xr:uid="{00000000-0005-0000-0000-000031020000}"/>
    <cellStyle name="표준 3 2 3 6 4" xfId="626" xr:uid="{00000000-0005-0000-0000-000032020000}"/>
    <cellStyle name="표준 3 2 3 6 5" xfId="786" xr:uid="{00000000-0005-0000-0000-000033020000}"/>
    <cellStyle name="표준 3 2 3 7" xfId="178" xr:uid="{00000000-0005-0000-0000-000034020000}"/>
    <cellStyle name="표준 3 2 3 8" xfId="338" xr:uid="{00000000-0005-0000-0000-000035020000}"/>
    <cellStyle name="표준 3 2 3 9" xfId="498" xr:uid="{00000000-0005-0000-0000-000036020000}"/>
    <cellStyle name="표준 3 2 4" xfId="35" xr:uid="{00000000-0005-0000-0000-000037020000}"/>
    <cellStyle name="표준 3 2 4 2" xfId="58" xr:uid="{00000000-0005-0000-0000-000038020000}"/>
    <cellStyle name="표준 3 2 4 2 2" xfId="218" xr:uid="{00000000-0005-0000-0000-000039020000}"/>
    <cellStyle name="표준 3 2 4 2 3" xfId="378" xr:uid="{00000000-0005-0000-0000-00003A020000}"/>
    <cellStyle name="표준 3 2 4 2 4" xfId="538" xr:uid="{00000000-0005-0000-0000-00003B020000}"/>
    <cellStyle name="표준 3 2 4 2 5" xfId="698" xr:uid="{00000000-0005-0000-0000-00003C020000}"/>
    <cellStyle name="표준 3 2 4 3" xfId="90" xr:uid="{00000000-0005-0000-0000-00003D020000}"/>
    <cellStyle name="표준 3 2 4 3 2" xfId="250" xr:uid="{00000000-0005-0000-0000-00003E020000}"/>
    <cellStyle name="표준 3 2 4 3 3" xfId="410" xr:uid="{00000000-0005-0000-0000-00003F020000}"/>
    <cellStyle name="표준 3 2 4 3 4" xfId="570" xr:uid="{00000000-0005-0000-0000-000040020000}"/>
    <cellStyle name="표준 3 2 4 3 5" xfId="730" xr:uid="{00000000-0005-0000-0000-000041020000}"/>
    <cellStyle name="표준 3 2 4 4" xfId="122" xr:uid="{00000000-0005-0000-0000-000042020000}"/>
    <cellStyle name="표준 3 2 4 4 2" xfId="282" xr:uid="{00000000-0005-0000-0000-000043020000}"/>
    <cellStyle name="표준 3 2 4 4 3" xfId="442" xr:uid="{00000000-0005-0000-0000-000044020000}"/>
    <cellStyle name="표준 3 2 4 4 4" xfId="602" xr:uid="{00000000-0005-0000-0000-000045020000}"/>
    <cellStyle name="표준 3 2 4 4 5" xfId="762" xr:uid="{00000000-0005-0000-0000-000046020000}"/>
    <cellStyle name="표준 3 2 4 5" xfId="154" xr:uid="{00000000-0005-0000-0000-000047020000}"/>
    <cellStyle name="표준 3 2 4 5 2" xfId="314" xr:uid="{00000000-0005-0000-0000-000048020000}"/>
    <cellStyle name="표준 3 2 4 5 3" xfId="474" xr:uid="{00000000-0005-0000-0000-000049020000}"/>
    <cellStyle name="표준 3 2 4 5 4" xfId="634" xr:uid="{00000000-0005-0000-0000-00004A020000}"/>
    <cellStyle name="표준 3 2 4 5 5" xfId="794" xr:uid="{00000000-0005-0000-0000-00004B020000}"/>
    <cellStyle name="표준 3 2 4 6" xfId="195" xr:uid="{00000000-0005-0000-0000-00004C020000}"/>
    <cellStyle name="표준 3 2 4 7" xfId="355" xr:uid="{00000000-0005-0000-0000-00004D020000}"/>
    <cellStyle name="표준 3 2 4 8" xfId="515" xr:uid="{00000000-0005-0000-0000-00004E020000}"/>
    <cellStyle name="표준 3 2 4 9" xfId="675" xr:uid="{00000000-0005-0000-0000-00004F020000}"/>
    <cellStyle name="표준 3 2 5" xfId="42" xr:uid="{00000000-0005-0000-0000-000050020000}"/>
    <cellStyle name="표준 3 2 5 2" xfId="202" xr:uid="{00000000-0005-0000-0000-000051020000}"/>
    <cellStyle name="표준 3 2 5 3" xfId="362" xr:uid="{00000000-0005-0000-0000-000052020000}"/>
    <cellStyle name="표준 3 2 5 4" xfId="522" xr:uid="{00000000-0005-0000-0000-000053020000}"/>
    <cellStyle name="표준 3 2 5 5" xfId="682" xr:uid="{00000000-0005-0000-0000-000054020000}"/>
    <cellStyle name="표준 3 2 6" xfId="74" xr:uid="{00000000-0005-0000-0000-000055020000}"/>
    <cellStyle name="표준 3 2 6 2" xfId="234" xr:uid="{00000000-0005-0000-0000-000056020000}"/>
    <cellStyle name="표준 3 2 6 3" xfId="394" xr:uid="{00000000-0005-0000-0000-000057020000}"/>
    <cellStyle name="표준 3 2 6 4" xfId="554" xr:uid="{00000000-0005-0000-0000-000058020000}"/>
    <cellStyle name="표준 3 2 6 5" xfId="714" xr:uid="{00000000-0005-0000-0000-000059020000}"/>
    <cellStyle name="표준 3 2 7" xfId="106" xr:uid="{00000000-0005-0000-0000-00005A020000}"/>
    <cellStyle name="표준 3 2 7 2" xfId="266" xr:uid="{00000000-0005-0000-0000-00005B020000}"/>
    <cellStyle name="표준 3 2 7 3" xfId="426" xr:uid="{00000000-0005-0000-0000-00005C020000}"/>
    <cellStyle name="표준 3 2 7 4" xfId="586" xr:uid="{00000000-0005-0000-0000-00005D020000}"/>
    <cellStyle name="표준 3 2 7 5" xfId="746" xr:uid="{00000000-0005-0000-0000-00005E020000}"/>
    <cellStyle name="표준 3 2 8" xfId="138" xr:uid="{00000000-0005-0000-0000-00005F020000}"/>
    <cellStyle name="표준 3 2 8 2" xfId="298" xr:uid="{00000000-0005-0000-0000-000060020000}"/>
    <cellStyle name="표준 3 2 8 3" xfId="458" xr:uid="{00000000-0005-0000-0000-000061020000}"/>
    <cellStyle name="표준 3 2 8 4" xfId="618" xr:uid="{00000000-0005-0000-0000-000062020000}"/>
    <cellStyle name="표준 3 2 8 5" xfId="778" xr:uid="{00000000-0005-0000-0000-000063020000}"/>
    <cellStyle name="표준 3 2 9" xfId="170" xr:uid="{00000000-0005-0000-0000-000064020000}"/>
    <cellStyle name="표준 3 3" xfId="9" xr:uid="{00000000-0005-0000-0000-000065020000}"/>
    <cellStyle name="표준 3 3 10" xfId="492" xr:uid="{00000000-0005-0000-0000-000066020000}"/>
    <cellStyle name="표준 3 3 11" xfId="652" xr:uid="{00000000-0005-0000-0000-000067020000}"/>
    <cellStyle name="표준 3 3 2" xfId="17" xr:uid="{00000000-0005-0000-0000-000068020000}"/>
    <cellStyle name="표준 3 3 2 10" xfId="660" xr:uid="{00000000-0005-0000-0000-000069020000}"/>
    <cellStyle name="표준 3 3 2 2" xfId="36" xr:uid="{00000000-0005-0000-0000-00006A020000}"/>
    <cellStyle name="표준 3 3 2 2 2" xfId="68" xr:uid="{00000000-0005-0000-0000-00006B020000}"/>
    <cellStyle name="표준 3 3 2 2 2 2" xfId="228" xr:uid="{00000000-0005-0000-0000-00006C020000}"/>
    <cellStyle name="표준 3 3 2 2 2 3" xfId="388" xr:uid="{00000000-0005-0000-0000-00006D020000}"/>
    <cellStyle name="표준 3 3 2 2 2 4" xfId="548" xr:uid="{00000000-0005-0000-0000-00006E020000}"/>
    <cellStyle name="표준 3 3 2 2 2 5" xfId="708" xr:uid="{00000000-0005-0000-0000-00006F020000}"/>
    <cellStyle name="표준 3 3 2 2 3" xfId="100" xr:uid="{00000000-0005-0000-0000-000070020000}"/>
    <cellStyle name="표준 3 3 2 2 3 2" xfId="260" xr:uid="{00000000-0005-0000-0000-000071020000}"/>
    <cellStyle name="표준 3 3 2 2 3 3" xfId="420" xr:uid="{00000000-0005-0000-0000-000072020000}"/>
    <cellStyle name="표준 3 3 2 2 3 4" xfId="580" xr:uid="{00000000-0005-0000-0000-000073020000}"/>
    <cellStyle name="표준 3 3 2 2 3 5" xfId="740" xr:uid="{00000000-0005-0000-0000-000074020000}"/>
    <cellStyle name="표준 3 3 2 2 4" xfId="132" xr:uid="{00000000-0005-0000-0000-000075020000}"/>
    <cellStyle name="표준 3 3 2 2 4 2" xfId="292" xr:uid="{00000000-0005-0000-0000-000076020000}"/>
    <cellStyle name="표준 3 3 2 2 4 3" xfId="452" xr:uid="{00000000-0005-0000-0000-000077020000}"/>
    <cellStyle name="표준 3 3 2 2 4 4" xfId="612" xr:uid="{00000000-0005-0000-0000-000078020000}"/>
    <cellStyle name="표준 3 3 2 2 4 5" xfId="772" xr:uid="{00000000-0005-0000-0000-000079020000}"/>
    <cellStyle name="표준 3 3 2 2 5" xfId="164" xr:uid="{00000000-0005-0000-0000-00007A020000}"/>
    <cellStyle name="표준 3 3 2 2 5 2" xfId="324" xr:uid="{00000000-0005-0000-0000-00007B020000}"/>
    <cellStyle name="표준 3 3 2 2 5 3" xfId="484" xr:uid="{00000000-0005-0000-0000-00007C020000}"/>
    <cellStyle name="표준 3 3 2 2 5 4" xfId="644" xr:uid="{00000000-0005-0000-0000-00007D020000}"/>
    <cellStyle name="표준 3 3 2 2 5 5" xfId="804" xr:uid="{00000000-0005-0000-0000-00007E020000}"/>
    <cellStyle name="표준 3 3 2 2 6" xfId="196" xr:uid="{00000000-0005-0000-0000-00007F020000}"/>
    <cellStyle name="표준 3 3 2 2 7" xfId="356" xr:uid="{00000000-0005-0000-0000-000080020000}"/>
    <cellStyle name="표준 3 3 2 2 8" xfId="516" xr:uid="{00000000-0005-0000-0000-000081020000}"/>
    <cellStyle name="표준 3 3 2 2 9" xfId="676" xr:uid="{00000000-0005-0000-0000-000082020000}"/>
    <cellStyle name="표준 3 3 2 3" xfId="52" xr:uid="{00000000-0005-0000-0000-000083020000}"/>
    <cellStyle name="표준 3 3 2 3 2" xfId="212" xr:uid="{00000000-0005-0000-0000-000084020000}"/>
    <cellStyle name="표준 3 3 2 3 3" xfId="372" xr:uid="{00000000-0005-0000-0000-000085020000}"/>
    <cellStyle name="표준 3 3 2 3 4" xfId="532" xr:uid="{00000000-0005-0000-0000-000086020000}"/>
    <cellStyle name="표준 3 3 2 3 5" xfId="692" xr:uid="{00000000-0005-0000-0000-000087020000}"/>
    <cellStyle name="표준 3 3 2 4" xfId="84" xr:uid="{00000000-0005-0000-0000-000088020000}"/>
    <cellStyle name="표준 3 3 2 4 2" xfId="244" xr:uid="{00000000-0005-0000-0000-000089020000}"/>
    <cellStyle name="표준 3 3 2 4 3" xfId="404" xr:uid="{00000000-0005-0000-0000-00008A020000}"/>
    <cellStyle name="표준 3 3 2 4 4" xfId="564" xr:uid="{00000000-0005-0000-0000-00008B020000}"/>
    <cellStyle name="표준 3 3 2 4 5" xfId="724" xr:uid="{00000000-0005-0000-0000-00008C020000}"/>
    <cellStyle name="표준 3 3 2 5" xfId="116" xr:uid="{00000000-0005-0000-0000-00008D020000}"/>
    <cellStyle name="표준 3 3 2 5 2" xfId="276" xr:uid="{00000000-0005-0000-0000-00008E020000}"/>
    <cellStyle name="표준 3 3 2 5 3" xfId="436" xr:uid="{00000000-0005-0000-0000-00008F020000}"/>
    <cellStyle name="표준 3 3 2 5 4" xfId="596" xr:uid="{00000000-0005-0000-0000-000090020000}"/>
    <cellStyle name="표준 3 3 2 5 5" xfId="756" xr:uid="{00000000-0005-0000-0000-000091020000}"/>
    <cellStyle name="표준 3 3 2 6" xfId="148" xr:uid="{00000000-0005-0000-0000-000092020000}"/>
    <cellStyle name="표준 3 3 2 6 2" xfId="308" xr:uid="{00000000-0005-0000-0000-000093020000}"/>
    <cellStyle name="표준 3 3 2 6 3" xfId="468" xr:uid="{00000000-0005-0000-0000-000094020000}"/>
    <cellStyle name="표준 3 3 2 6 4" xfId="628" xr:uid="{00000000-0005-0000-0000-000095020000}"/>
    <cellStyle name="표준 3 3 2 6 5" xfId="788" xr:uid="{00000000-0005-0000-0000-000096020000}"/>
    <cellStyle name="표준 3 3 2 7" xfId="180" xr:uid="{00000000-0005-0000-0000-000097020000}"/>
    <cellStyle name="표준 3 3 2 8" xfId="340" xr:uid="{00000000-0005-0000-0000-000098020000}"/>
    <cellStyle name="표준 3 3 2 9" xfId="500" xr:uid="{00000000-0005-0000-0000-000099020000}"/>
    <cellStyle name="표준 3 3 3" xfId="37" xr:uid="{00000000-0005-0000-0000-00009A020000}"/>
    <cellStyle name="표준 3 3 3 2" xfId="60" xr:uid="{00000000-0005-0000-0000-00009B020000}"/>
    <cellStyle name="표준 3 3 3 2 2" xfId="220" xr:uid="{00000000-0005-0000-0000-00009C020000}"/>
    <cellStyle name="표준 3 3 3 2 3" xfId="380" xr:uid="{00000000-0005-0000-0000-00009D020000}"/>
    <cellStyle name="표준 3 3 3 2 4" xfId="540" xr:uid="{00000000-0005-0000-0000-00009E020000}"/>
    <cellStyle name="표준 3 3 3 2 5" xfId="700" xr:uid="{00000000-0005-0000-0000-00009F020000}"/>
    <cellStyle name="표준 3 3 3 3" xfId="92" xr:uid="{00000000-0005-0000-0000-0000A0020000}"/>
    <cellStyle name="표준 3 3 3 3 2" xfId="252" xr:uid="{00000000-0005-0000-0000-0000A1020000}"/>
    <cellStyle name="표준 3 3 3 3 3" xfId="412" xr:uid="{00000000-0005-0000-0000-0000A2020000}"/>
    <cellStyle name="표준 3 3 3 3 4" xfId="572" xr:uid="{00000000-0005-0000-0000-0000A3020000}"/>
    <cellStyle name="표준 3 3 3 3 5" xfId="732" xr:uid="{00000000-0005-0000-0000-0000A4020000}"/>
    <cellStyle name="표준 3 3 3 4" xfId="124" xr:uid="{00000000-0005-0000-0000-0000A5020000}"/>
    <cellStyle name="표준 3 3 3 4 2" xfId="284" xr:uid="{00000000-0005-0000-0000-0000A6020000}"/>
    <cellStyle name="표준 3 3 3 4 3" xfId="444" xr:uid="{00000000-0005-0000-0000-0000A7020000}"/>
    <cellStyle name="표준 3 3 3 4 4" xfId="604" xr:uid="{00000000-0005-0000-0000-0000A8020000}"/>
    <cellStyle name="표준 3 3 3 4 5" xfId="764" xr:uid="{00000000-0005-0000-0000-0000A9020000}"/>
    <cellStyle name="표준 3 3 3 5" xfId="156" xr:uid="{00000000-0005-0000-0000-0000AA020000}"/>
    <cellStyle name="표준 3 3 3 5 2" xfId="316" xr:uid="{00000000-0005-0000-0000-0000AB020000}"/>
    <cellStyle name="표준 3 3 3 5 3" xfId="476" xr:uid="{00000000-0005-0000-0000-0000AC020000}"/>
    <cellStyle name="표준 3 3 3 5 4" xfId="636" xr:uid="{00000000-0005-0000-0000-0000AD020000}"/>
    <cellStyle name="표준 3 3 3 5 5" xfId="796" xr:uid="{00000000-0005-0000-0000-0000AE020000}"/>
    <cellStyle name="표준 3 3 3 6" xfId="197" xr:uid="{00000000-0005-0000-0000-0000AF020000}"/>
    <cellStyle name="표준 3 3 3 7" xfId="357" xr:uid="{00000000-0005-0000-0000-0000B0020000}"/>
    <cellStyle name="표준 3 3 3 8" xfId="517" xr:uid="{00000000-0005-0000-0000-0000B1020000}"/>
    <cellStyle name="표준 3 3 3 9" xfId="677" xr:uid="{00000000-0005-0000-0000-0000B2020000}"/>
    <cellStyle name="표준 3 3 4" xfId="44" xr:uid="{00000000-0005-0000-0000-0000B3020000}"/>
    <cellStyle name="표준 3 3 4 2" xfId="204" xr:uid="{00000000-0005-0000-0000-0000B4020000}"/>
    <cellStyle name="표준 3 3 4 3" xfId="364" xr:uid="{00000000-0005-0000-0000-0000B5020000}"/>
    <cellStyle name="표준 3 3 4 4" xfId="524" xr:uid="{00000000-0005-0000-0000-0000B6020000}"/>
    <cellStyle name="표준 3 3 4 5" xfId="684" xr:uid="{00000000-0005-0000-0000-0000B7020000}"/>
    <cellStyle name="표준 3 3 5" xfId="76" xr:uid="{00000000-0005-0000-0000-0000B8020000}"/>
    <cellStyle name="표준 3 3 5 2" xfId="236" xr:uid="{00000000-0005-0000-0000-0000B9020000}"/>
    <cellStyle name="표준 3 3 5 3" xfId="396" xr:uid="{00000000-0005-0000-0000-0000BA020000}"/>
    <cellStyle name="표준 3 3 5 4" xfId="556" xr:uid="{00000000-0005-0000-0000-0000BB020000}"/>
    <cellStyle name="표준 3 3 5 5" xfId="716" xr:uid="{00000000-0005-0000-0000-0000BC020000}"/>
    <cellStyle name="표준 3 3 6" xfId="108" xr:uid="{00000000-0005-0000-0000-0000BD020000}"/>
    <cellStyle name="표준 3 3 6 2" xfId="268" xr:uid="{00000000-0005-0000-0000-0000BE020000}"/>
    <cellStyle name="표준 3 3 6 3" xfId="428" xr:uid="{00000000-0005-0000-0000-0000BF020000}"/>
    <cellStyle name="표준 3 3 6 4" xfId="588" xr:uid="{00000000-0005-0000-0000-0000C0020000}"/>
    <cellStyle name="표준 3 3 6 5" xfId="748" xr:uid="{00000000-0005-0000-0000-0000C1020000}"/>
    <cellStyle name="표준 3 3 7" xfId="140" xr:uid="{00000000-0005-0000-0000-0000C2020000}"/>
    <cellStyle name="표준 3 3 7 2" xfId="300" xr:uid="{00000000-0005-0000-0000-0000C3020000}"/>
    <cellStyle name="표준 3 3 7 3" xfId="460" xr:uid="{00000000-0005-0000-0000-0000C4020000}"/>
    <cellStyle name="표준 3 3 7 4" xfId="620" xr:uid="{00000000-0005-0000-0000-0000C5020000}"/>
    <cellStyle name="표준 3 3 7 5" xfId="780" xr:uid="{00000000-0005-0000-0000-0000C6020000}"/>
    <cellStyle name="표준 3 3 8" xfId="172" xr:uid="{00000000-0005-0000-0000-0000C7020000}"/>
    <cellStyle name="표준 3 3 9" xfId="332" xr:uid="{00000000-0005-0000-0000-0000C8020000}"/>
    <cellStyle name="표준 3 4" xfId="13" xr:uid="{00000000-0005-0000-0000-0000C9020000}"/>
    <cellStyle name="표준 3 4 10" xfId="656" xr:uid="{00000000-0005-0000-0000-0000CA020000}"/>
    <cellStyle name="표준 3 4 2" xfId="38" xr:uid="{00000000-0005-0000-0000-0000CB020000}"/>
    <cellStyle name="표준 3 4 2 2" xfId="64" xr:uid="{00000000-0005-0000-0000-0000CC020000}"/>
    <cellStyle name="표준 3 4 2 2 2" xfId="224" xr:uid="{00000000-0005-0000-0000-0000CD020000}"/>
    <cellStyle name="표준 3 4 2 2 3" xfId="384" xr:uid="{00000000-0005-0000-0000-0000CE020000}"/>
    <cellStyle name="표준 3 4 2 2 4" xfId="544" xr:uid="{00000000-0005-0000-0000-0000CF020000}"/>
    <cellStyle name="표준 3 4 2 2 5" xfId="704" xr:uid="{00000000-0005-0000-0000-0000D0020000}"/>
    <cellStyle name="표준 3 4 2 3" xfId="96" xr:uid="{00000000-0005-0000-0000-0000D1020000}"/>
    <cellStyle name="표준 3 4 2 3 2" xfId="256" xr:uid="{00000000-0005-0000-0000-0000D2020000}"/>
    <cellStyle name="표준 3 4 2 3 3" xfId="416" xr:uid="{00000000-0005-0000-0000-0000D3020000}"/>
    <cellStyle name="표준 3 4 2 3 4" xfId="576" xr:uid="{00000000-0005-0000-0000-0000D4020000}"/>
    <cellStyle name="표준 3 4 2 3 5" xfId="736" xr:uid="{00000000-0005-0000-0000-0000D5020000}"/>
    <cellStyle name="표준 3 4 2 4" xfId="128" xr:uid="{00000000-0005-0000-0000-0000D6020000}"/>
    <cellStyle name="표준 3 4 2 4 2" xfId="288" xr:uid="{00000000-0005-0000-0000-0000D7020000}"/>
    <cellStyle name="표준 3 4 2 4 3" xfId="448" xr:uid="{00000000-0005-0000-0000-0000D8020000}"/>
    <cellStyle name="표준 3 4 2 4 4" xfId="608" xr:uid="{00000000-0005-0000-0000-0000D9020000}"/>
    <cellStyle name="표준 3 4 2 4 5" xfId="768" xr:uid="{00000000-0005-0000-0000-0000DA020000}"/>
    <cellStyle name="표준 3 4 2 5" xfId="160" xr:uid="{00000000-0005-0000-0000-0000DB020000}"/>
    <cellStyle name="표준 3 4 2 5 2" xfId="320" xr:uid="{00000000-0005-0000-0000-0000DC020000}"/>
    <cellStyle name="표준 3 4 2 5 3" xfId="480" xr:uid="{00000000-0005-0000-0000-0000DD020000}"/>
    <cellStyle name="표준 3 4 2 5 4" xfId="640" xr:uid="{00000000-0005-0000-0000-0000DE020000}"/>
    <cellStyle name="표준 3 4 2 5 5" xfId="800" xr:uid="{00000000-0005-0000-0000-0000DF020000}"/>
    <cellStyle name="표준 3 4 2 6" xfId="198" xr:uid="{00000000-0005-0000-0000-0000E0020000}"/>
    <cellStyle name="표준 3 4 2 7" xfId="358" xr:uid="{00000000-0005-0000-0000-0000E1020000}"/>
    <cellStyle name="표준 3 4 2 8" xfId="518" xr:uid="{00000000-0005-0000-0000-0000E2020000}"/>
    <cellStyle name="표준 3 4 2 9" xfId="678" xr:uid="{00000000-0005-0000-0000-0000E3020000}"/>
    <cellStyle name="표준 3 4 3" xfId="48" xr:uid="{00000000-0005-0000-0000-0000E4020000}"/>
    <cellStyle name="표준 3 4 3 2" xfId="208" xr:uid="{00000000-0005-0000-0000-0000E5020000}"/>
    <cellStyle name="표준 3 4 3 3" xfId="368" xr:uid="{00000000-0005-0000-0000-0000E6020000}"/>
    <cellStyle name="표준 3 4 3 4" xfId="528" xr:uid="{00000000-0005-0000-0000-0000E7020000}"/>
    <cellStyle name="표준 3 4 3 5" xfId="688" xr:uid="{00000000-0005-0000-0000-0000E8020000}"/>
    <cellStyle name="표준 3 4 4" xfId="80" xr:uid="{00000000-0005-0000-0000-0000E9020000}"/>
    <cellStyle name="표준 3 4 4 2" xfId="240" xr:uid="{00000000-0005-0000-0000-0000EA020000}"/>
    <cellStyle name="표준 3 4 4 3" xfId="400" xr:uid="{00000000-0005-0000-0000-0000EB020000}"/>
    <cellStyle name="표준 3 4 4 4" xfId="560" xr:uid="{00000000-0005-0000-0000-0000EC020000}"/>
    <cellStyle name="표준 3 4 4 5" xfId="720" xr:uid="{00000000-0005-0000-0000-0000ED020000}"/>
    <cellStyle name="표준 3 4 5" xfId="112" xr:uid="{00000000-0005-0000-0000-0000EE020000}"/>
    <cellStyle name="표준 3 4 5 2" xfId="272" xr:uid="{00000000-0005-0000-0000-0000EF020000}"/>
    <cellStyle name="표준 3 4 5 3" xfId="432" xr:uid="{00000000-0005-0000-0000-0000F0020000}"/>
    <cellStyle name="표준 3 4 5 4" xfId="592" xr:uid="{00000000-0005-0000-0000-0000F1020000}"/>
    <cellStyle name="표준 3 4 5 5" xfId="752" xr:uid="{00000000-0005-0000-0000-0000F2020000}"/>
    <cellStyle name="표준 3 4 6" xfId="144" xr:uid="{00000000-0005-0000-0000-0000F3020000}"/>
    <cellStyle name="표준 3 4 6 2" xfId="304" xr:uid="{00000000-0005-0000-0000-0000F4020000}"/>
    <cellStyle name="표준 3 4 6 3" xfId="464" xr:uid="{00000000-0005-0000-0000-0000F5020000}"/>
    <cellStyle name="표준 3 4 6 4" xfId="624" xr:uid="{00000000-0005-0000-0000-0000F6020000}"/>
    <cellStyle name="표준 3 4 6 5" xfId="784" xr:uid="{00000000-0005-0000-0000-0000F7020000}"/>
    <cellStyle name="표준 3 4 7" xfId="176" xr:uid="{00000000-0005-0000-0000-0000F8020000}"/>
    <cellStyle name="표준 3 4 8" xfId="336" xr:uid="{00000000-0005-0000-0000-0000F9020000}"/>
    <cellStyle name="표준 3 4 9" xfId="496" xr:uid="{00000000-0005-0000-0000-0000FA020000}"/>
    <cellStyle name="표준 3 5" xfId="39" xr:uid="{00000000-0005-0000-0000-0000FB020000}"/>
    <cellStyle name="표준 3 5 2" xfId="56" xr:uid="{00000000-0005-0000-0000-0000FC020000}"/>
    <cellStyle name="표준 3 5 2 2" xfId="216" xr:uid="{00000000-0005-0000-0000-0000FD020000}"/>
    <cellStyle name="표준 3 5 2 3" xfId="376" xr:uid="{00000000-0005-0000-0000-0000FE020000}"/>
    <cellStyle name="표준 3 5 2 4" xfId="536" xr:uid="{00000000-0005-0000-0000-0000FF020000}"/>
    <cellStyle name="표준 3 5 2 5" xfId="696" xr:uid="{00000000-0005-0000-0000-000000030000}"/>
    <cellStyle name="표준 3 5 3" xfId="88" xr:uid="{00000000-0005-0000-0000-000001030000}"/>
    <cellStyle name="표준 3 5 3 2" xfId="248" xr:uid="{00000000-0005-0000-0000-000002030000}"/>
    <cellStyle name="표준 3 5 3 3" xfId="408" xr:uid="{00000000-0005-0000-0000-000003030000}"/>
    <cellStyle name="표준 3 5 3 4" xfId="568" xr:uid="{00000000-0005-0000-0000-000004030000}"/>
    <cellStyle name="표준 3 5 3 5" xfId="728" xr:uid="{00000000-0005-0000-0000-000005030000}"/>
    <cellStyle name="표준 3 5 4" xfId="120" xr:uid="{00000000-0005-0000-0000-000006030000}"/>
    <cellStyle name="표준 3 5 4 2" xfId="280" xr:uid="{00000000-0005-0000-0000-000007030000}"/>
    <cellStyle name="표준 3 5 4 3" xfId="440" xr:uid="{00000000-0005-0000-0000-000008030000}"/>
    <cellStyle name="표준 3 5 4 4" xfId="600" xr:uid="{00000000-0005-0000-0000-000009030000}"/>
    <cellStyle name="표준 3 5 4 5" xfId="760" xr:uid="{00000000-0005-0000-0000-00000A030000}"/>
    <cellStyle name="표준 3 5 5" xfId="152" xr:uid="{00000000-0005-0000-0000-00000B030000}"/>
    <cellStyle name="표준 3 5 5 2" xfId="312" xr:uid="{00000000-0005-0000-0000-00000C030000}"/>
    <cellStyle name="표준 3 5 5 3" xfId="472" xr:uid="{00000000-0005-0000-0000-00000D030000}"/>
    <cellStyle name="표준 3 5 5 4" xfId="632" xr:uid="{00000000-0005-0000-0000-00000E030000}"/>
    <cellStyle name="표준 3 5 5 5" xfId="792" xr:uid="{00000000-0005-0000-0000-00000F030000}"/>
    <cellStyle name="표준 3 5 6" xfId="199" xr:uid="{00000000-0005-0000-0000-000010030000}"/>
    <cellStyle name="표준 3 5 7" xfId="359" xr:uid="{00000000-0005-0000-0000-000011030000}"/>
    <cellStyle name="표준 3 5 8" xfId="519" xr:uid="{00000000-0005-0000-0000-000012030000}"/>
    <cellStyle name="표준 3 5 9" xfId="679" xr:uid="{00000000-0005-0000-0000-000013030000}"/>
    <cellStyle name="표준 3 6" xfId="40" xr:uid="{00000000-0005-0000-0000-000014030000}"/>
    <cellStyle name="표준 3 6 2" xfId="200" xr:uid="{00000000-0005-0000-0000-000015030000}"/>
    <cellStyle name="표준 3 6 3" xfId="360" xr:uid="{00000000-0005-0000-0000-000016030000}"/>
    <cellStyle name="표준 3 6 4" xfId="520" xr:uid="{00000000-0005-0000-0000-000017030000}"/>
    <cellStyle name="표준 3 6 5" xfId="680" xr:uid="{00000000-0005-0000-0000-000018030000}"/>
    <cellStyle name="표준 3 7" xfId="72" xr:uid="{00000000-0005-0000-0000-000019030000}"/>
    <cellStyle name="표준 3 7 2" xfId="232" xr:uid="{00000000-0005-0000-0000-00001A030000}"/>
    <cellStyle name="표준 3 7 3" xfId="392" xr:uid="{00000000-0005-0000-0000-00001B030000}"/>
    <cellStyle name="표준 3 7 4" xfId="552" xr:uid="{00000000-0005-0000-0000-00001C030000}"/>
    <cellStyle name="표준 3 7 5" xfId="712" xr:uid="{00000000-0005-0000-0000-00001D030000}"/>
    <cellStyle name="표준 3 8" xfId="104" xr:uid="{00000000-0005-0000-0000-00001E030000}"/>
    <cellStyle name="표준 3 8 2" xfId="264" xr:uid="{00000000-0005-0000-0000-00001F030000}"/>
    <cellStyle name="표준 3 8 3" xfId="424" xr:uid="{00000000-0005-0000-0000-000020030000}"/>
    <cellStyle name="표준 3 8 4" xfId="584" xr:uid="{00000000-0005-0000-0000-000021030000}"/>
    <cellStyle name="표준 3 8 5" xfId="744" xr:uid="{00000000-0005-0000-0000-000022030000}"/>
    <cellStyle name="표준 3 9" xfId="136" xr:uid="{00000000-0005-0000-0000-000023030000}"/>
    <cellStyle name="표준 3 9 2" xfId="296" xr:uid="{00000000-0005-0000-0000-000024030000}"/>
    <cellStyle name="표준 3 9 3" xfId="456" xr:uid="{00000000-0005-0000-0000-000025030000}"/>
    <cellStyle name="표준 3 9 4" xfId="616" xr:uid="{00000000-0005-0000-0000-000026030000}"/>
    <cellStyle name="표준 3 9 5" xfId="776" xr:uid="{00000000-0005-0000-0000-00002703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33"/>
  <sheetViews>
    <sheetView topLeftCell="A2" workbookViewId="0">
      <pane xSplit="3" ySplit="2" topLeftCell="I4" activePane="bottomRight" state="frozen"/>
      <selection activeCell="A2" sqref="A2"/>
      <selection pane="topRight" activeCell="D2" sqref="D2"/>
      <selection pane="bottomLeft" activeCell="A4" sqref="A4"/>
      <selection pane="bottomRight" activeCell="D5" sqref="D5"/>
    </sheetView>
  </sheetViews>
  <sheetFormatPr defaultRowHeight="13.5" x14ac:dyDescent="0.15"/>
  <cols>
    <col min="1" max="1" width="5.21875" customWidth="1"/>
    <col min="2" max="2" width="5.44140625" customWidth="1"/>
    <col min="3" max="3" width="12.44140625" customWidth="1"/>
    <col min="4" max="15" width="9.6640625" customWidth="1"/>
    <col min="16" max="16" width="12.6640625" style="2" customWidth="1"/>
  </cols>
  <sheetData>
    <row r="1" spans="1:16" ht="25.5" customHeight="1" x14ac:dyDescent="0.15">
      <c r="A1" s="207" t="s">
        <v>12</v>
      </c>
      <c r="B1" s="208"/>
      <c r="C1" s="208"/>
      <c r="D1" s="208"/>
      <c r="E1" s="208"/>
      <c r="F1" s="208"/>
      <c r="G1" s="208"/>
      <c r="H1" s="208"/>
      <c r="I1" s="208"/>
      <c r="J1" s="208"/>
      <c r="K1" s="208"/>
      <c r="L1" s="208"/>
      <c r="M1" s="208"/>
      <c r="N1" s="208"/>
      <c r="O1" s="208"/>
      <c r="P1" s="208"/>
    </row>
    <row r="2" spans="1:16" ht="18" customHeight="1" thickBot="1" x14ac:dyDescent="0.2"/>
    <row r="3" spans="1:16" ht="25.5" customHeight="1" x14ac:dyDescent="0.15">
      <c r="A3" s="209" t="s">
        <v>13</v>
      </c>
      <c r="B3" s="210"/>
      <c r="C3" s="210"/>
      <c r="D3" s="8" t="s">
        <v>0</v>
      </c>
      <c r="E3" s="8" t="s">
        <v>1</v>
      </c>
      <c r="F3" s="8" t="s">
        <v>2</v>
      </c>
      <c r="G3" s="8" t="s">
        <v>3</v>
      </c>
      <c r="H3" s="8" t="s">
        <v>4</v>
      </c>
      <c r="I3" s="8" t="s">
        <v>5</v>
      </c>
      <c r="J3" s="8" t="s">
        <v>6</v>
      </c>
      <c r="K3" s="8" t="s">
        <v>7</v>
      </c>
      <c r="L3" s="8" t="s">
        <v>8</v>
      </c>
      <c r="M3" s="8" t="s">
        <v>9</v>
      </c>
      <c r="N3" s="8" t="s">
        <v>10</v>
      </c>
      <c r="O3" s="8" t="s">
        <v>11</v>
      </c>
      <c r="P3" s="9" t="s">
        <v>44</v>
      </c>
    </row>
    <row r="4" spans="1:16" ht="21.95" customHeight="1" x14ac:dyDescent="0.15">
      <c r="A4" s="200" t="s">
        <v>14</v>
      </c>
      <c r="B4" s="206" t="s">
        <v>15</v>
      </c>
      <c r="C4" s="1" t="s">
        <v>16</v>
      </c>
      <c r="D4" s="4">
        <v>32682</v>
      </c>
      <c r="E4" s="4">
        <v>31975</v>
      </c>
      <c r="F4" s="4">
        <v>39321</v>
      </c>
      <c r="G4" s="4">
        <v>41726</v>
      </c>
      <c r="H4" s="4">
        <v>31521</v>
      </c>
      <c r="I4" s="4">
        <v>39038</v>
      </c>
      <c r="J4" s="4">
        <v>40027</v>
      </c>
      <c r="K4" s="4">
        <v>26820</v>
      </c>
      <c r="L4" s="4">
        <v>57227</v>
      </c>
      <c r="M4" s="4">
        <v>47962</v>
      </c>
      <c r="N4" s="4">
        <v>52162</v>
      </c>
      <c r="O4" s="4">
        <v>47163</v>
      </c>
      <c r="P4" s="11">
        <f>SUM(D4:O4)</f>
        <v>487624</v>
      </c>
    </row>
    <row r="5" spans="1:16" ht="21.95" customHeight="1" x14ac:dyDescent="0.15">
      <c r="A5" s="200"/>
      <c r="B5" s="205"/>
      <c r="C5" s="1" t="s">
        <v>17</v>
      </c>
      <c r="D5" s="4">
        <v>1593</v>
      </c>
      <c r="E5" s="4">
        <v>1627</v>
      </c>
      <c r="F5" s="4">
        <v>2162</v>
      </c>
      <c r="G5" s="4">
        <v>1282</v>
      </c>
      <c r="H5" s="4">
        <v>1316</v>
      </c>
      <c r="I5" s="4">
        <v>2657</v>
      </c>
      <c r="J5" s="4">
        <v>2087</v>
      </c>
      <c r="K5" s="4">
        <v>2352</v>
      </c>
      <c r="L5" s="4">
        <v>3945</v>
      </c>
      <c r="M5" s="4">
        <v>2513</v>
      </c>
      <c r="N5" s="4">
        <v>4219</v>
      </c>
      <c r="O5" s="4">
        <v>4010</v>
      </c>
      <c r="P5" s="11">
        <f t="shared" ref="P5:P32" si="0">SUM(D5:O5)</f>
        <v>29763</v>
      </c>
    </row>
    <row r="6" spans="1:16" ht="21.95" customHeight="1" x14ac:dyDescent="0.15">
      <c r="A6" s="200"/>
      <c r="B6" s="205"/>
      <c r="C6" s="1" t="s">
        <v>45</v>
      </c>
      <c r="D6" s="4"/>
      <c r="E6" s="4"/>
      <c r="F6" s="4">
        <v>66</v>
      </c>
      <c r="G6" s="4"/>
      <c r="H6" s="4"/>
      <c r="I6" s="4"/>
      <c r="J6" s="4"/>
      <c r="K6" s="4"/>
      <c r="L6" s="4"/>
      <c r="M6" s="4"/>
      <c r="N6" s="4"/>
      <c r="O6" s="4"/>
      <c r="P6" s="11">
        <f>SUM(D6:O6)</f>
        <v>66</v>
      </c>
    </row>
    <row r="7" spans="1:16" ht="21.95" customHeight="1" x14ac:dyDescent="0.15">
      <c r="A7" s="200"/>
      <c r="B7" s="205"/>
      <c r="C7" s="1" t="s">
        <v>18</v>
      </c>
      <c r="D7" s="4">
        <v>237</v>
      </c>
      <c r="E7" s="4">
        <v>329</v>
      </c>
      <c r="F7" s="4"/>
      <c r="G7" s="4">
        <v>426</v>
      </c>
      <c r="H7" s="4">
        <v>97</v>
      </c>
      <c r="I7" s="4">
        <v>4</v>
      </c>
      <c r="J7" s="4"/>
      <c r="K7" s="4"/>
      <c r="L7" s="4">
        <v>965</v>
      </c>
      <c r="M7" s="4">
        <v>1724</v>
      </c>
      <c r="N7" s="4">
        <v>1455</v>
      </c>
      <c r="O7" s="4">
        <v>655</v>
      </c>
      <c r="P7" s="11">
        <f t="shared" si="0"/>
        <v>5892</v>
      </c>
    </row>
    <row r="8" spans="1:16" ht="21.95" customHeight="1" x14ac:dyDescent="0.15">
      <c r="A8" s="200"/>
      <c r="B8" s="205"/>
      <c r="C8" s="1" t="s">
        <v>19</v>
      </c>
      <c r="D8" s="4">
        <v>1</v>
      </c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11">
        <f t="shared" si="0"/>
        <v>1</v>
      </c>
    </row>
    <row r="9" spans="1:16" ht="21.95" customHeight="1" x14ac:dyDescent="0.15">
      <c r="A9" s="200"/>
      <c r="B9" s="205"/>
      <c r="C9" s="3" t="s">
        <v>22</v>
      </c>
      <c r="D9" s="5">
        <f t="shared" ref="D9:O9" si="1">SUM(D4:D8)</f>
        <v>34513</v>
      </c>
      <c r="E9" s="5">
        <f t="shared" si="1"/>
        <v>33931</v>
      </c>
      <c r="F9" s="5">
        <f t="shared" si="1"/>
        <v>41549</v>
      </c>
      <c r="G9" s="5">
        <f t="shared" si="1"/>
        <v>43434</v>
      </c>
      <c r="H9" s="5">
        <f t="shared" si="1"/>
        <v>32934</v>
      </c>
      <c r="I9" s="5">
        <f t="shared" si="1"/>
        <v>41699</v>
      </c>
      <c r="J9" s="5">
        <f t="shared" si="1"/>
        <v>42114</v>
      </c>
      <c r="K9" s="5">
        <f t="shared" si="1"/>
        <v>29172</v>
      </c>
      <c r="L9" s="5">
        <f t="shared" si="1"/>
        <v>62137</v>
      </c>
      <c r="M9" s="5">
        <f t="shared" si="1"/>
        <v>52199</v>
      </c>
      <c r="N9" s="5">
        <f t="shared" si="1"/>
        <v>57836</v>
      </c>
      <c r="O9" s="5">
        <f t="shared" si="1"/>
        <v>51828</v>
      </c>
      <c r="P9" s="11">
        <f t="shared" si="0"/>
        <v>523346</v>
      </c>
    </row>
    <row r="10" spans="1:16" ht="21.95" customHeight="1" x14ac:dyDescent="0.15">
      <c r="A10" s="200"/>
      <c r="B10" s="205" t="s">
        <v>20</v>
      </c>
      <c r="C10" s="205"/>
      <c r="D10" s="4">
        <v>140</v>
      </c>
      <c r="E10" s="4">
        <v>187</v>
      </c>
      <c r="F10" s="4">
        <v>173</v>
      </c>
      <c r="G10" s="4">
        <v>51</v>
      </c>
      <c r="H10" s="4">
        <v>110</v>
      </c>
      <c r="I10" s="4">
        <v>207</v>
      </c>
      <c r="J10" s="4">
        <v>162</v>
      </c>
      <c r="K10" s="4">
        <v>76</v>
      </c>
      <c r="L10" s="4">
        <v>229</v>
      </c>
      <c r="M10" s="4">
        <v>215</v>
      </c>
      <c r="N10" s="4">
        <v>177</v>
      </c>
      <c r="O10" s="4">
        <v>328</v>
      </c>
      <c r="P10" s="11">
        <f t="shared" si="0"/>
        <v>2055</v>
      </c>
    </row>
    <row r="11" spans="1:16" ht="26.45" customHeight="1" x14ac:dyDescent="0.15">
      <c r="A11" s="200"/>
      <c r="B11" s="199" t="s">
        <v>39</v>
      </c>
      <c r="C11" s="199"/>
      <c r="D11" s="6">
        <f>D9+D10</f>
        <v>34653</v>
      </c>
      <c r="E11" s="6">
        <f t="shared" ref="E11:O11" si="2">E9+E10</f>
        <v>34118</v>
      </c>
      <c r="F11" s="6">
        <f t="shared" si="2"/>
        <v>41722</v>
      </c>
      <c r="G11" s="6">
        <f t="shared" si="2"/>
        <v>43485</v>
      </c>
      <c r="H11" s="6">
        <f t="shared" si="2"/>
        <v>33044</v>
      </c>
      <c r="I11" s="6">
        <f t="shared" si="2"/>
        <v>41906</v>
      </c>
      <c r="J11" s="6">
        <f t="shared" si="2"/>
        <v>42276</v>
      </c>
      <c r="K11" s="6">
        <f t="shared" si="2"/>
        <v>29248</v>
      </c>
      <c r="L11" s="6">
        <f t="shared" si="2"/>
        <v>62366</v>
      </c>
      <c r="M11" s="6">
        <f t="shared" si="2"/>
        <v>52414</v>
      </c>
      <c r="N11" s="6">
        <f t="shared" si="2"/>
        <v>58013</v>
      </c>
      <c r="O11" s="6">
        <f t="shared" si="2"/>
        <v>52156</v>
      </c>
      <c r="P11" s="13">
        <f t="shared" si="0"/>
        <v>525401</v>
      </c>
    </row>
    <row r="12" spans="1:16" ht="21.95" customHeight="1" x14ac:dyDescent="0.15">
      <c r="A12" s="200" t="s">
        <v>21</v>
      </c>
      <c r="B12" s="206" t="s">
        <v>35</v>
      </c>
      <c r="C12" s="1" t="s">
        <v>23</v>
      </c>
      <c r="D12" s="4">
        <v>369</v>
      </c>
      <c r="E12" s="4">
        <v>41</v>
      </c>
      <c r="F12" s="4">
        <v>22</v>
      </c>
      <c r="G12" s="4">
        <v>17</v>
      </c>
      <c r="H12" s="4">
        <v>140</v>
      </c>
      <c r="I12" s="4">
        <v>24</v>
      </c>
      <c r="J12" s="4">
        <v>7</v>
      </c>
      <c r="K12" s="4"/>
      <c r="L12" s="4">
        <v>84</v>
      </c>
      <c r="M12" s="4">
        <v>60</v>
      </c>
      <c r="N12" s="4">
        <v>26</v>
      </c>
      <c r="O12" s="4">
        <v>56</v>
      </c>
      <c r="P12" s="11">
        <f t="shared" si="0"/>
        <v>846</v>
      </c>
    </row>
    <row r="13" spans="1:16" ht="21.95" customHeight="1" x14ac:dyDescent="0.15">
      <c r="A13" s="201"/>
      <c r="B13" s="205"/>
      <c r="C13" s="1" t="s">
        <v>24</v>
      </c>
      <c r="D13" s="4">
        <v>428</v>
      </c>
      <c r="E13" s="4">
        <v>176</v>
      </c>
      <c r="F13" s="4">
        <v>15</v>
      </c>
      <c r="G13" s="4">
        <v>119</v>
      </c>
      <c r="H13" s="4">
        <v>126</v>
      </c>
      <c r="I13" s="4">
        <v>453</v>
      </c>
      <c r="J13" s="4">
        <v>282</v>
      </c>
      <c r="K13" s="4"/>
      <c r="L13" s="4"/>
      <c r="M13" s="4">
        <v>30</v>
      </c>
      <c r="N13" s="4">
        <v>4</v>
      </c>
      <c r="O13" s="4">
        <v>16</v>
      </c>
      <c r="P13" s="11">
        <f t="shared" si="0"/>
        <v>1649</v>
      </c>
    </row>
    <row r="14" spans="1:16" ht="21.95" customHeight="1" x14ac:dyDescent="0.15">
      <c r="A14" s="201"/>
      <c r="B14" s="205"/>
      <c r="C14" s="1" t="s">
        <v>25</v>
      </c>
      <c r="D14" s="4">
        <v>484</v>
      </c>
      <c r="E14" s="4">
        <v>265</v>
      </c>
      <c r="F14" s="4">
        <v>599</v>
      </c>
      <c r="G14" s="4">
        <v>1084</v>
      </c>
      <c r="H14" s="4">
        <v>288</v>
      </c>
      <c r="I14" s="4">
        <v>949</v>
      </c>
      <c r="J14" s="4">
        <v>886</v>
      </c>
      <c r="K14" s="4">
        <v>666</v>
      </c>
      <c r="L14" s="4">
        <v>1801</v>
      </c>
      <c r="M14" s="4">
        <v>809</v>
      </c>
      <c r="N14" s="4">
        <v>1156</v>
      </c>
      <c r="O14" s="4">
        <v>789</v>
      </c>
      <c r="P14" s="11">
        <f t="shared" si="0"/>
        <v>9776</v>
      </c>
    </row>
    <row r="15" spans="1:16" ht="21.95" customHeight="1" x14ac:dyDescent="0.15">
      <c r="A15" s="201"/>
      <c r="B15" s="205"/>
      <c r="C15" s="1" t="s">
        <v>26</v>
      </c>
      <c r="D15" s="4"/>
      <c r="E15" s="4"/>
      <c r="F15" s="4"/>
      <c r="G15" s="4">
        <v>75</v>
      </c>
      <c r="H15" s="4">
        <v>113</v>
      </c>
      <c r="I15" s="4">
        <v>30</v>
      </c>
      <c r="J15" s="4">
        <v>33</v>
      </c>
      <c r="K15" s="4">
        <v>809</v>
      </c>
      <c r="L15" s="4">
        <v>43</v>
      </c>
      <c r="M15" s="4">
        <v>3</v>
      </c>
      <c r="N15" s="4">
        <v>532</v>
      </c>
      <c r="O15" s="4">
        <v>984</v>
      </c>
      <c r="P15" s="11">
        <f t="shared" si="0"/>
        <v>2622</v>
      </c>
    </row>
    <row r="16" spans="1:16" ht="21.95" customHeight="1" x14ac:dyDescent="0.15">
      <c r="A16" s="201"/>
      <c r="B16" s="205"/>
      <c r="C16" s="1" t="s">
        <v>27</v>
      </c>
      <c r="D16" s="4"/>
      <c r="E16" s="4">
        <v>100</v>
      </c>
      <c r="F16" s="4">
        <v>71</v>
      </c>
      <c r="G16" s="4"/>
      <c r="H16" s="4">
        <v>71</v>
      </c>
      <c r="I16" s="4"/>
      <c r="J16" s="4">
        <v>76</v>
      </c>
      <c r="K16" s="4"/>
      <c r="L16" s="4">
        <v>240</v>
      </c>
      <c r="M16" s="4">
        <v>284</v>
      </c>
      <c r="N16" s="4">
        <v>210</v>
      </c>
      <c r="O16" s="4">
        <v>461</v>
      </c>
      <c r="P16" s="11">
        <f t="shared" si="0"/>
        <v>1513</v>
      </c>
    </row>
    <row r="17" spans="1:16" ht="21.95" customHeight="1" x14ac:dyDescent="0.15">
      <c r="A17" s="201"/>
      <c r="B17" s="205"/>
      <c r="C17" s="1" t="s">
        <v>28</v>
      </c>
      <c r="D17" s="4">
        <v>299</v>
      </c>
      <c r="E17" s="4">
        <v>280</v>
      </c>
      <c r="F17" s="4">
        <v>100</v>
      </c>
      <c r="G17" s="4">
        <v>172</v>
      </c>
      <c r="H17" s="4">
        <v>223</v>
      </c>
      <c r="I17" s="4"/>
      <c r="J17" s="4">
        <v>96</v>
      </c>
      <c r="K17" s="4">
        <v>65</v>
      </c>
      <c r="L17" s="4">
        <v>24</v>
      </c>
      <c r="M17" s="4">
        <v>97</v>
      </c>
      <c r="N17" s="4">
        <v>277</v>
      </c>
      <c r="O17" s="4">
        <v>238</v>
      </c>
      <c r="P17" s="11">
        <f>SUM(D17:O17)</f>
        <v>1871</v>
      </c>
    </row>
    <row r="18" spans="1:16" ht="21.95" customHeight="1" x14ac:dyDescent="0.15">
      <c r="A18" s="201"/>
      <c r="B18" s="205"/>
      <c r="C18" s="1" t="s">
        <v>29</v>
      </c>
      <c r="D18" s="4">
        <v>26</v>
      </c>
      <c r="E18" s="4">
        <v>24</v>
      </c>
      <c r="F18" s="4">
        <v>1</v>
      </c>
      <c r="G18" s="4">
        <v>68</v>
      </c>
      <c r="H18" s="4">
        <v>45</v>
      </c>
      <c r="I18" s="4">
        <v>6</v>
      </c>
      <c r="J18" s="4"/>
      <c r="K18" s="4"/>
      <c r="L18" s="4">
        <v>43</v>
      </c>
      <c r="M18" s="4">
        <v>73</v>
      </c>
      <c r="N18" s="4">
        <v>108</v>
      </c>
      <c r="O18" s="4">
        <v>45</v>
      </c>
      <c r="P18" s="11">
        <f>SUM(D18:O18)</f>
        <v>439</v>
      </c>
    </row>
    <row r="19" spans="1:16" ht="21.95" customHeight="1" x14ac:dyDescent="0.15">
      <c r="A19" s="201"/>
      <c r="B19" s="205"/>
      <c r="C19" s="1" t="s">
        <v>30</v>
      </c>
      <c r="D19" s="4">
        <v>23</v>
      </c>
      <c r="E19" s="4">
        <v>20</v>
      </c>
      <c r="F19" s="4">
        <v>31</v>
      </c>
      <c r="G19" s="4">
        <v>4</v>
      </c>
      <c r="H19" s="4">
        <v>31</v>
      </c>
      <c r="I19" s="4">
        <v>33</v>
      </c>
      <c r="J19" s="4">
        <v>5</v>
      </c>
      <c r="K19" s="4">
        <v>21</v>
      </c>
      <c r="L19" s="4">
        <v>21</v>
      </c>
      <c r="M19" s="4">
        <v>104</v>
      </c>
      <c r="N19" s="4">
        <v>66</v>
      </c>
      <c r="O19" s="4">
        <v>48</v>
      </c>
      <c r="P19" s="11">
        <f>SUM(D19:O19)</f>
        <v>407</v>
      </c>
    </row>
    <row r="20" spans="1:16" ht="21.95" customHeight="1" x14ac:dyDescent="0.15">
      <c r="A20" s="201"/>
      <c r="B20" s="205"/>
      <c r="C20" s="1" t="s">
        <v>31</v>
      </c>
      <c r="D20" s="4">
        <v>5</v>
      </c>
      <c r="E20" s="4">
        <v>3</v>
      </c>
      <c r="F20" s="4">
        <v>10</v>
      </c>
      <c r="G20" s="4">
        <v>5</v>
      </c>
      <c r="H20" s="4">
        <v>1</v>
      </c>
      <c r="I20" s="4">
        <v>50</v>
      </c>
      <c r="J20" s="4">
        <v>50</v>
      </c>
      <c r="K20" s="4">
        <v>166</v>
      </c>
      <c r="L20" s="4">
        <v>5</v>
      </c>
      <c r="M20" s="4">
        <v>180</v>
      </c>
      <c r="N20" s="4">
        <v>209</v>
      </c>
      <c r="O20" s="4">
        <v>290</v>
      </c>
      <c r="P20" s="11">
        <f>SUM(D20:O20)</f>
        <v>974</v>
      </c>
    </row>
    <row r="21" spans="1:16" ht="21.95" customHeight="1" x14ac:dyDescent="0.15">
      <c r="A21" s="201"/>
      <c r="B21" s="205"/>
      <c r="C21" s="1" t="s">
        <v>32</v>
      </c>
      <c r="D21" s="4"/>
      <c r="E21" s="4"/>
      <c r="F21" s="4"/>
      <c r="G21" s="4">
        <v>1</v>
      </c>
      <c r="H21" s="4"/>
      <c r="I21" s="4">
        <v>24</v>
      </c>
      <c r="J21" s="4">
        <v>44</v>
      </c>
      <c r="K21" s="4">
        <v>25</v>
      </c>
      <c r="L21" s="4">
        <v>22</v>
      </c>
      <c r="M21" s="4">
        <v>8</v>
      </c>
      <c r="N21" s="4">
        <v>104</v>
      </c>
      <c r="O21" s="4">
        <v>53</v>
      </c>
      <c r="P21" s="11">
        <f t="shared" si="0"/>
        <v>281</v>
      </c>
    </row>
    <row r="22" spans="1:16" ht="21.95" customHeight="1" x14ac:dyDescent="0.15">
      <c r="A22" s="201"/>
      <c r="B22" s="205"/>
      <c r="C22" s="1" t="s">
        <v>33</v>
      </c>
      <c r="D22" s="4">
        <v>10</v>
      </c>
      <c r="E22" s="4">
        <v>8</v>
      </c>
      <c r="F22" s="4">
        <v>18</v>
      </c>
      <c r="G22" s="4">
        <v>43</v>
      </c>
      <c r="H22" s="4">
        <v>15</v>
      </c>
      <c r="I22" s="4">
        <v>49</v>
      </c>
      <c r="J22" s="4">
        <v>22</v>
      </c>
      <c r="K22" s="4">
        <v>55</v>
      </c>
      <c r="L22" s="4">
        <v>28</v>
      </c>
      <c r="M22" s="4">
        <v>22</v>
      </c>
      <c r="N22" s="4">
        <v>59</v>
      </c>
      <c r="O22" s="4">
        <v>12</v>
      </c>
      <c r="P22" s="11">
        <f t="shared" si="0"/>
        <v>341</v>
      </c>
    </row>
    <row r="23" spans="1:16" ht="21.95" customHeight="1" x14ac:dyDescent="0.15">
      <c r="A23" s="201"/>
      <c r="B23" s="205"/>
      <c r="C23" s="1" t="s">
        <v>34</v>
      </c>
      <c r="D23" s="4"/>
      <c r="E23" s="4">
        <v>180</v>
      </c>
      <c r="F23" s="4"/>
      <c r="G23" s="4"/>
      <c r="H23" s="4"/>
      <c r="I23" s="4"/>
      <c r="J23" s="4"/>
      <c r="K23" s="4"/>
      <c r="L23" s="4"/>
      <c r="M23" s="4"/>
      <c r="N23" s="4"/>
      <c r="O23" s="4"/>
      <c r="P23" s="11">
        <f t="shared" si="0"/>
        <v>180</v>
      </c>
    </row>
    <row r="24" spans="1:16" ht="21.95" customHeight="1" x14ac:dyDescent="0.15">
      <c r="A24" s="201"/>
      <c r="B24" s="206" t="s">
        <v>38</v>
      </c>
      <c r="C24" s="1" t="s">
        <v>36</v>
      </c>
      <c r="D24" s="4">
        <v>77</v>
      </c>
      <c r="E24" s="4">
        <v>46</v>
      </c>
      <c r="F24" s="4">
        <v>22</v>
      </c>
      <c r="G24" s="4">
        <v>64</v>
      </c>
      <c r="H24" s="4">
        <v>19</v>
      </c>
      <c r="I24" s="4">
        <v>82</v>
      </c>
      <c r="J24" s="4">
        <v>37</v>
      </c>
      <c r="K24" s="4">
        <v>27</v>
      </c>
      <c r="L24" s="4">
        <v>19</v>
      </c>
      <c r="M24" s="4">
        <v>34</v>
      </c>
      <c r="N24" s="4">
        <v>63</v>
      </c>
      <c r="O24" s="4">
        <v>32</v>
      </c>
      <c r="P24" s="11">
        <f>SUM(D24:O24)</f>
        <v>522</v>
      </c>
    </row>
    <row r="25" spans="1:16" ht="21.95" customHeight="1" x14ac:dyDescent="0.15">
      <c r="A25" s="201"/>
      <c r="B25" s="205"/>
      <c r="C25" s="1" t="s">
        <v>46</v>
      </c>
      <c r="D25" s="4"/>
      <c r="E25" s="4"/>
      <c r="F25" s="4">
        <v>35</v>
      </c>
      <c r="G25" s="4">
        <v>22</v>
      </c>
      <c r="H25" s="4"/>
      <c r="I25" s="4">
        <v>22</v>
      </c>
      <c r="J25" s="4"/>
      <c r="K25" s="4"/>
      <c r="L25" s="4"/>
      <c r="M25" s="4">
        <v>22</v>
      </c>
      <c r="N25" s="4"/>
      <c r="O25" s="4">
        <v>1</v>
      </c>
      <c r="P25" s="11">
        <f>SUM(D25:O25)</f>
        <v>102</v>
      </c>
    </row>
    <row r="26" spans="1:16" ht="21.95" customHeight="1" x14ac:dyDescent="0.15">
      <c r="A26" s="201"/>
      <c r="B26" s="205"/>
      <c r="C26" s="1" t="s">
        <v>37</v>
      </c>
      <c r="D26" s="4">
        <v>5</v>
      </c>
      <c r="E26" s="4"/>
      <c r="F26" s="4">
        <v>27</v>
      </c>
      <c r="G26" s="4">
        <v>56</v>
      </c>
      <c r="H26" s="4">
        <v>34</v>
      </c>
      <c r="I26" s="4">
        <v>18</v>
      </c>
      <c r="J26" s="4"/>
      <c r="K26" s="4">
        <v>2</v>
      </c>
      <c r="L26" s="4">
        <v>17</v>
      </c>
      <c r="M26" s="4">
        <v>48</v>
      </c>
      <c r="N26" s="4"/>
      <c r="O26" s="4" t="s">
        <v>49</v>
      </c>
      <c r="P26" s="11">
        <f>SUM(D26:O26)</f>
        <v>207</v>
      </c>
    </row>
    <row r="27" spans="1:16" ht="21.95" customHeight="1" x14ac:dyDescent="0.15">
      <c r="A27" s="201"/>
      <c r="B27" s="205"/>
      <c r="C27" s="1" t="s">
        <v>48</v>
      </c>
      <c r="D27" s="4"/>
      <c r="E27" s="4"/>
      <c r="F27" s="4"/>
      <c r="G27" s="4"/>
      <c r="H27" s="4"/>
      <c r="I27" s="4"/>
      <c r="J27" s="4"/>
      <c r="K27" s="4">
        <v>6</v>
      </c>
      <c r="L27" s="4">
        <v>6</v>
      </c>
      <c r="M27" s="4"/>
      <c r="N27" s="4">
        <v>9</v>
      </c>
      <c r="O27" s="4" t="s">
        <v>49</v>
      </c>
      <c r="P27" s="11">
        <f>SUM(D27:O27)</f>
        <v>21</v>
      </c>
    </row>
    <row r="28" spans="1:16" ht="21.95" customHeight="1" x14ac:dyDescent="0.15">
      <c r="A28" s="201"/>
      <c r="B28" s="205"/>
      <c r="C28" s="1" t="s">
        <v>47</v>
      </c>
      <c r="D28" s="4"/>
      <c r="E28" s="4"/>
      <c r="F28" s="4"/>
      <c r="G28" s="4">
        <v>58</v>
      </c>
      <c r="H28" s="4">
        <v>54</v>
      </c>
      <c r="I28" s="4">
        <v>19</v>
      </c>
      <c r="J28" s="4">
        <v>33</v>
      </c>
      <c r="K28" s="4">
        <v>61</v>
      </c>
      <c r="L28" s="4">
        <v>43</v>
      </c>
      <c r="M28" s="4">
        <v>53</v>
      </c>
      <c r="N28" s="4">
        <v>113</v>
      </c>
      <c r="O28" s="4">
        <v>33</v>
      </c>
      <c r="P28" s="11">
        <f>SUM(D28:O28)</f>
        <v>467</v>
      </c>
    </row>
    <row r="29" spans="1:16" ht="24.75" customHeight="1" x14ac:dyDescent="0.15">
      <c r="A29" s="201"/>
      <c r="B29" s="199" t="s">
        <v>40</v>
      </c>
      <c r="C29" s="199"/>
      <c r="D29" s="6">
        <f>SUM(D12:D28)</f>
        <v>1726</v>
      </c>
      <c r="E29" s="6">
        <f t="shared" ref="E29:O29" si="3">SUM(E12:E28)</f>
        <v>1143</v>
      </c>
      <c r="F29" s="6">
        <f t="shared" si="3"/>
        <v>951</v>
      </c>
      <c r="G29" s="6">
        <f t="shared" si="3"/>
        <v>1788</v>
      </c>
      <c r="H29" s="6">
        <f t="shared" si="3"/>
        <v>1160</v>
      </c>
      <c r="I29" s="6">
        <f t="shared" si="3"/>
        <v>1759</v>
      </c>
      <c r="J29" s="6">
        <f t="shared" si="3"/>
        <v>1571</v>
      </c>
      <c r="K29" s="6">
        <f t="shared" si="3"/>
        <v>1903</v>
      </c>
      <c r="L29" s="6">
        <f t="shared" si="3"/>
        <v>2396</v>
      </c>
      <c r="M29" s="6">
        <f t="shared" si="3"/>
        <v>1827</v>
      </c>
      <c r="N29" s="6">
        <f t="shared" si="3"/>
        <v>2936</v>
      </c>
      <c r="O29" s="6">
        <f t="shared" si="3"/>
        <v>3058</v>
      </c>
      <c r="P29" s="13">
        <f t="shared" si="0"/>
        <v>22218</v>
      </c>
    </row>
    <row r="30" spans="1:16" s="2" customFormat="1" ht="26.45" customHeight="1" x14ac:dyDescent="0.15">
      <c r="A30" s="202" t="s">
        <v>41</v>
      </c>
      <c r="B30" s="203"/>
      <c r="C30" s="203"/>
      <c r="D30" s="7">
        <f>D11+D29</f>
        <v>36379</v>
      </c>
      <c r="E30" s="7">
        <f t="shared" ref="E30:O30" si="4">E11+E29</f>
        <v>35261</v>
      </c>
      <c r="F30" s="7">
        <f t="shared" si="4"/>
        <v>42673</v>
      </c>
      <c r="G30" s="7">
        <f t="shared" si="4"/>
        <v>45273</v>
      </c>
      <c r="H30" s="7">
        <f t="shared" si="4"/>
        <v>34204</v>
      </c>
      <c r="I30" s="7">
        <f t="shared" si="4"/>
        <v>43665</v>
      </c>
      <c r="J30" s="7">
        <f t="shared" si="4"/>
        <v>43847</v>
      </c>
      <c r="K30" s="7">
        <f t="shared" si="4"/>
        <v>31151</v>
      </c>
      <c r="L30" s="7">
        <f t="shared" si="4"/>
        <v>64762</v>
      </c>
      <c r="M30" s="7">
        <f t="shared" si="4"/>
        <v>54241</v>
      </c>
      <c r="N30" s="7">
        <f t="shared" si="4"/>
        <v>60949</v>
      </c>
      <c r="O30" s="7">
        <f t="shared" si="4"/>
        <v>55214</v>
      </c>
      <c r="P30" s="12">
        <f t="shared" si="0"/>
        <v>547619</v>
      </c>
    </row>
    <row r="31" spans="1:16" ht="21.95" customHeight="1" x14ac:dyDescent="0.15">
      <c r="A31" s="204" t="s">
        <v>43</v>
      </c>
      <c r="B31" s="205"/>
      <c r="C31" s="205"/>
      <c r="D31" s="4">
        <v>851</v>
      </c>
      <c r="E31" s="4">
        <v>3369</v>
      </c>
      <c r="F31" s="4">
        <v>10604</v>
      </c>
      <c r="G31" s="4">
        <v>6635</v>
      </c>
      <c r="H31" s="4">
        <v>12242</v>
      </c>
      <c r="I31" s="4">
        <v>8344</v>
      </c>
      <c r="J31" s="4">
        <v>7054</v>
      </c>
      <c r="K31" s="4">
        <v>12181</v>
      </c>
      <c r="L31" s="4">
        <v>10138</v>
      </c>
      <c r="M31" s="4">
        <v>12682</v>
      </c>
      <c r="N31" s="4">
        <v>15643</v>
      </c>
      <c r="O31" s="4">
        <v>12287</v>
      </c>
      <c r="P31" s="11">
        <f t="shared" si="0"/>
        <v>112030</v>
      </c>
    </row>
    <row r="32" spans="1:16" s="2" customFormat="1" ht="27.75" customHeight="1" thickBot="1" x14ac:dyDescent="0.2">
      <c r="A32" s="197" t="s">
        <v>42</v>
      </c>
      <c r="B32" s="198"/>
      <c r="C32" s="198"/>
      <c r="D32" s="10">
        <f>D30+D31</f>
        <v>37230</v>
      </c>
      <c r="E32" s="10">
        <f t="shared" ref="E32:O32" si="5">E30+E31</f>
        <v>38630</v>
      </c>
      <c r="F32" s="10">
        <f t="shared" si="5"/>
        <v>53277</v>
      </c>
      <c r="G32" s="10">
        <f t="shared" si="5"/>
        <v>51908</v>
      </c>
      <c r="H32" s="10">
        <f t="shared" si="5"/>
        <v>46446</v>
      </c>
      <c r="I32" s="10">
        <f t="shared" si="5"/>
        <v>52009</v>
      </c>
      <c r="J32" s="10">
        <f t="shared" si="5"/>
        <v>50901</v>
      </c>
      <c r="K32" s="10">
        <f t="shared" si="5"/>
        <v>43332</v>
      </c>
      <c r="L32" s="10">
        <f t="shared" si="5"/>
        <v>74900</v>
      </c>
      <c r="M32" s="10">
        <f t="shared" si="5"/>
        <v>66923</v>
      </c>
      <c r="N32" s="10">
        <f t="shared" si="5"/>
        <v>76592</v>
      </c>
      <c r="O32" s="10">
        <f t="shared" si="5"/>
        <v>67501</v>
      </c>
      <c r="P32" s="14">
        <f t="shared" si="0"/>
        <v>659649</v>
      </c>
    </row>
    <row r="33" ht="20.100000000000001" customHeight="1" x14ac:dyDescent="0.15"/>
  </sheetData>
  <mergeCells count="13">
    <mergeCell ref="B11:C11"/>
    <mergeCell ref="B12:B23"/>
    <mergeCell ref="B24:B28"/>
    <mergeCell ref="A1:P1"/>
    <mergeCell ref="A3:C3"/>
    <mergeCell ref="A4:A11"/>
    <mergeCell ref="B10:C10"/>
    <mergeCell ref="B4:B9"/>
    <mergeCell ref="A32:C32"/>
    <mergeCell ref="B29:C29"/>
    <mergeCell ref="A12:A29"/>
    <mergeCell ref="A30:C30"/>
    <mergeCell ref="A31:C31"/>
  </mergeCells>
  <phoneticPr fontId="14" type="noConversion"/>
  <pageMargins left="0.75" right="0.75" top="0.5" bottom="0.5" header="0.5" footer="0.5"/>
  <pageSetup paperSize="9" scale="7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36"/>
  <sheetViews>
    <sheetView workbookViewId="0">
      <selection activeCell="J40" sqref="J40"/>
    </sheetView>
  </sheetViews>
  <sheetFormatPr defaultRowHeight="13.5" x14ac:dyDescent="0.15"/>
  <cols>
    <col min="1" max="1" width="5.21875" customWidth="1"/>
    <col min="2" max="2" width="5.44140625" customWidth="1"/>
    <col min="3" max="3" width="12.44140625" customWidth="1"/>
    <col min="4" max="15" width="9.6640625" customWidth="1"/>
    <col min="16" max="16" width="12.6640625" style="2" customWidth="1"/>
  </cols>
  <sheetData>
    <row r="1" spans="1:16" ht="25.5" customHeight="1" thickBot="1" x14ac:dyDescent="0.2">
      <c r="A1" s="207" t="s">
        <v>55</v>
      </c>
      <c r="B1" s="208"/>
      <c r="C1" s="208"/>
      <c r="D1" s="208"/>
      <c r="E1" s="208"/>
      <c r="F1" s="208"/>
      <c r="G1" s="208"/>
      <c r="H1" s="208"/>
      <c r="I1" s="208"/>
      <c r="J1" s="208"/>
      <c r="K1" s="208"/>
      <c r="L1" s="208"/>
      <c r="M1" s="208"/>
      <c r="N1" s="208"/>
      <c r="O1" s="208"/>
      <c r="P1" s="208"/>
    </row>
    <row r="2" spans="1:16" ht="25.5" customHeight="1" x14ac:dyDescent="0.15">
      <c r="A2" s="209" t="s">
        <v>56</v>
      </c>
      <c r="B2" s="210"/>
      <c r="C2" s="210"/>
      <c r="D2" s="8" t="s">
        <v>57</v>
      </c>
      <c r="E2" s="8" t="s">
        <v>58</v>
      </c>
      <c r="F2" s="8" t="s">
        <v>2</v>
      </c>
      <c r="G2" s="8" t="s">
        <v>3</v>
      </c>
      <c r="H2" s="8" t="s">
        <v>4</v>
      </c>
      <c r="I2" s="8" t="s">
        <v>5</v>
      </c>
      <c r="J2" s="8" t="s">
        <v>6</v>
      </c>
      <c r="K2" s="8" t="s">
        <v>7</v>
      </c>
      <c r="L2" s="8" t="s">
        <v>8</v>
      </c>
      <c r="M2" s="8" t="s">
        <v>9</v>
      </c>
      <c r="N2" s="8" t="s">
        <v>10</v>
      </c>
      <c r="O2" s="8" t="s">
        <v>11</v>
      </c>
      <c r="P2" s="9" t="s">
        <v>59</v>
      </c>
    </row>
    <row r="3" spans="1:16" ht="21.95" customHeight="1" x14ac:dyDescent="0.15">
      <c r="A3" s="200" t="s">
        <v>60</v>
      </c>
      <c r="B3" s="206" t="s">
        <v>61</v>
      </c>
      <c r="C3" s="1" t="s">
        <v>62</v>
      </c>
      <c r="D3" s="4">
        <v>43340</v>
      </c>
      <c r="E3" s="4">
        <v>37740</v>
      </c>
      <c r="F3" s="4">
        <v>45922</v>
      </c>
      <c r="G3" s="4">
        <v>50474</v>
      </c>
      <c r="H3" s="4">
        <v>48238</v>
      </c>
      <c r="I3" s="4">
        <v>51863</v>
      </c>
      <c r="J3" s="4">
        <v>59090</v>
      </c>
      <c r="K3" s="4">
        <v>34483</v>
      </c>
      <c r="L3" s="4">
        <v>43592</v>
      </c>
      <c r="M3" s="4">
        <v>54098</v>
      </c>
      <c r="N3" s="4">
        <v>60755</v>
      </c>
      <c r="O3" s="4">
        <v>59059</v>
      </c>
      <c r="P3" s="11">
        <f>SUM(D3:O3)</f>
        <v>588654</v>
      </c>
    </row>
    <row r="4" spans="1:16" ht="21.95" customHeight="1" x14ac:dyDescent="0.15">
      <c r="A4" s="200"/>
      <c r="B4" s="205"/>
      <c r="C4" s="1" t="s">
        <v>63</v>
      </c>
      <c r="D4" s="4">
        <v>5649</v>
      </c>
      <c r="E4" s="4">
        <v>2095</v>
      </c>
      <c r="F4" s="4">
        <v>4527</v>
      </c>
      <c r="G4" s="4">
        <v>7906</v>
      </c>
      <c r="H4" s="4">
        <v>10346</v>
      </c>
      <c r="I4" s="4">
        <v>10531</v>
      </c>
      <c r="J4" s="4">
        <v>10078</v>
      </c>
      <c r="K4" s="4">
        <v>7778</v>
      </c>
      <c r="L4" s="4">
        <v>9150</v>
      </c>
      <c r="M4" s="4">
        <v>9998</v>
      </c>
      <c r="N4" s="4">
        <v>8354</v>
      </c>
      <c r="O4" s="4">
        <v>6686</v>
      </c>
      <c r="P4" s="11">
        <f t="shared" ref="P4:P35" si="0">SUM(D4:O4)</f>
        <v>93098</v>
      </c>
    </row>
    <row r="5" spans="1:16" ht="21.95" customHeight="1" x14ac:dyDescent="0.15">
      <c r="A5" s="200"/>
      <c r="B5" s="205"/>
      <c r="C5" s="1" t="s">
        <v>64</v>
      </c>
      <c r="D5" s="4">
        <v>94</v>
      </c>
      <c r="E5" s="4">
        <v>0</v>
      </c>
      <c r="F5" s="4">
        <v>0</v>
      </c>
      <c r="G5" s="4">
        <v>0</v>
      </c>
      <c r="H5" s="4">
        <v>0</v>
      </c>
      <c r="I5" s="4">
        <v>108</v>
      </c>
      <c r="J5" s="4">
        <v>0</v>
      </c>
      <c r="K5" s="4">
        <v>21</v>
      </c>
      <c r="L5" s="4">
        <v>0</v>
      </c>
      <c r="M5" s="4">
        <v>0</v>
      </c>
      <c r="N5" s="4">
        <v>81</v>
      </c>
      <c r="O5" s="4">
        <v>51</v>
      </c>
      <c r="P5" s="11">
        <f>SUM(D5:O5)</f>
        <v>355</v>
      </c>
    </row>
    <row r="6" spans="1:16" ht="21.95" customHeight="1" x14ac:dyDescent="0.15">
      <c r="A6" s="200"/>
      <c r="B6" s="205"/>
      <c r="C6" s="1" t="s">
        <v>65</v>
      </c>
      <c r="D6" s="4">
        <v>432</v>
      </c>
      <c r="E6" s="4">
        <v>2501</v>
      </c>
      <c r="F6" s="4">
        <v>2032</v>
      </c>
      <c r="G6" s="4">
        <v>2706</v>
      </c>
      <c r="H6" s="4">
        <v>2313</v>
      </c>
      <c r="I6" s="4">
        <v>3211</v>
      </c>
      <c r="J6" s="4">
        <v>2529</v>
      </c>
      <c r="K6" s="4">
        <v>2456</v>
      </c>
      <c r="L6" s="4">
        <v>2357</v>
      </c>
      <c r="M6" s="4">
        <v>3402</v>
      </c>
      <c r="N6" s="4">
        <v>2849</v>
      </c>
      <c r="O6" s="4">
        <v>2899</v>
      </c>
      <c r="P6" s="11">
        <f t="shared" si="0"/>
        <v>29687</v>
      </c>
    </row>
    <row r="7" spans="1:16" ht="21.95" customHeight="1" x14ac:dyDescent="0.15">
      <c r="A7" s="200"/>
      <c r="B7" s="205"/>
      <c r="C7" s="1" t="s">
        <v>66</v>
      </c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11">
        <f t="shared" si="0"/>
        <v>0</v>
      </c>
    </row>
    <row r="8" spans="1:16" ht="21.95" customHeight="1" x14ac:dyDescent="0.15">
      <c r="A8" s="200"/>
      <c r="B8" s="205"/>
      <c r="C8" s="3" t="s">
        <v>67</v>
      </c>
      <c r="D8" s="5">
        <f t="shared" ref="D8:O8" si="1">SUM(D3:D7)</f>
        <v>49515</v>
      </c>
      <c r="E8" s="5">
        <f t="shared" si="1"/>
        <v>42336</v>
      </c>
      <c r="F8" s="5">
        <f t="shared" si="1"/>
        <v>52481</v>
      </c>
      <c r="G8" s="5">
        <f t="shared" si="1"/>
        <v>61086</v>
      </c>
      <c r="H8" s="5">
        <f t="shared" si="1"/>
        <v>60897</v>
      </c>
      <c r="I8" s="5">
        <f t="shared" si="1"/>
        <v>65713</v>
      </c>
      <c r="J8" s="5">
        <f t="shared" si="1"/>
        <v>71697</v>
      </c>
      <c r="K8" s="5">
        <f t="shared" si="1"/>
        <v>44738</v>
      </c>
      <c r="L8" s="5">
        <f t="shared" si="1"/>
        <v>55099</v>
      </c>
      <c r="M8" s="5">
        <f t="shared" si="1"/>
        <v>67498</v>
      </c>
      <c r="N8" s="5">
        <f t="shared" si="1"/>
        <v>72039</v>
      </c>
      <c r="O8" s="5">
        <f t="shared" si="1"/>
        <v>68695</v>
      </c>
      <c r="P8" s="11">
        <f t="shared" si="0"/>
        <v>711794</v>
      </c>
    </row>
    <row r="9" spans="1:16" ht="21.95" customHeight="1" x14ac:dyDescent="0.15">
      <c r="A9" s="200"/>
      <c r="B9" s="205" t="s">
        <v>68</v>
      </c>
      <c r="C9" s="205"/>
      <c r="D9" s="4">
        <v>184</v>
      </c>
      <c r="E9" s="4">
        <v>344</v>
      </c>
      <c r="F9" s="4">
        <v>331</v>
      </c>
      <c r="G9" s="4">
        <v>509</v>
      </c>
      <c r="H9" s="4">
        <v>538</v>
      </c>
      <c r="I9" s="4">
        <v>996</v>
      </c>
      <c r="J9" s="4">
        <v>529</v>
      </c>
      <c r="K9" s="4">
        <v>234</v>
      </c>
      <c r="L9" s="4">
        <v>599</v>
      </c>
      <c r="M9" s="4">
        <v>596</v>
      </c>
      <c r="N9" s="4">
        <v>365</v>
      </c>
      <c r="O9" s="4">
        <v>186</v>
      </c>
      <c r="P9" s="11">
        <f t="shared" si="0"/>
        <v>5411</v>
      </c>
    </row>
    <row r="10" spans="1:16" ht="26.45" customHeight="1" x14ac:dyDescent="0.15">
      <c r="A10" s="200"/>
      <c r="B10" s="199" t="s">
        <v>69</v>
      </c>
      <c r="C10" s="199"/>
      <c r="D10" s="6">
        <f>D8+D9</f>
        <v>49699</v>
      </c>
      <c r="E10" s="6">
        <f t="shared" ref="E10:O10" si="2">E8+E9</f>
        <v>42680</v>
      </c>
      <c r="F10" s="6">
        <f t="shared" si="2"/>
        <v>52812</v>
      </c>
      <c r="G10" s="6">
        <f t="shared" si="2"/>
        <v>61595</v>
      </c>
      <c r="H10" s="6">
        <f t="shared" si="2"/>
        <v>61435</v>
      </c>
      <c r="I10" s="6">
        <f t="shared" si="2"/>
        <v>66709</v>
      </c>
      <c r="J10" s="6">
        <f t="shared" si="2"/>
        <v>72226</v>
      </c>
      <c r="K10" s="6">
        <f t="shared" si="2"/>
        <v>44972</v>
      </c>
      <c r="L10" s="6">
        <f t="shared" si="2"/>
        <v>55698</v>
      </c>
      <c r="M10" s="6">
        <f t="shared" si="2"/>
        <v>68094</v>
      </c>
      <c r="N10" s="6">
        <f t="shared" si="2"/>
        <v>72404</v>
      </c>
      <c r="O10" s="6">
        <f t="shared" si="2"/>
        <v>68881</v>
      </c>
      <c r="P10" s="13">
        <f t="shared" si="0"/>
        <v>717205</v>
      </c>
    </row>
    <row r="11" spans="1:16" ht="21.95" customHeight="1" x14ac:dyDescent="0.15">
      <c r="A11" s="200" t="s">
        <v>70</v>
      </c>
      <c r="B11" s="206" t="s">
        <v>71</v>
      </c>
      <c r="C11" s="1" t="s">
        <v>72</v>
      </c>
      <c r="D11" s="4">
        <v>48</v>
      </c>
      <c r="E11" s="4">
        <v>56</v>
      </c>
      <c r="F11" s="4">
        <v>51</v>
      </c>
      <c r="G11" s="4">
        <v>68</v>
      </c>
      <c r="H11" s="4">
        <v>42</v>
      </c>
      <c r="I11" s="4">
        <v>380</v>
      </c>
      <c r="J11" s="4">
        <v>84</v>
      </c>
      <c r="K11" s="4">
        <v>911</v>
      </c>
      <c r="L11" s="4">
        <v>951</v>
      </c>
      <c r="M11" s="4">
        <v>653</v>
      </c>
      <c r="N11" s="4">
        <v>1090</v>
      </c>
      <c r="O11" s="4">
        <v>833</v>
      </c>
      <c r="P11" s="11">
        <f t="shared" si="0"/>
        <v>5167</v>
      </c>
    </row>
    <row r="12" spans="1:16" ht="21.95" customHeight="1" x14ac:dyDescent="0.15">
      <c r="A12" s="201"/>
      <c r="B12" s="205"/>
      <c r="C12" s="1" t="s">
        <v>73</v>
      </c>
      <c r="D12" s="4">
        <v>312</v>
      </c>
      <c r="E12" s="4">
        <v>262</v>
      </c>
      <c r="F12" s="4">
        <v>310</v>
      </c>
      <c r="G12" s="4">
        <v>561</v>
      </c>
      <c r="H12" s="4">
        <v>373</v>
      </c>
      <c r="I12" s="4">
        <v>574</v>
      </c>
      <c r="J12" s="4">
        <v>370</v>
      </c>
      <c r="K12" s="4">
        <v>782</v>
      </c>
      <c r="L12" s="4">
        <v>1370</v>
      </c>
      <c r="M12" s="4">
        <v>745</v>
      </c>
      <c r="N12" s="4">
        <v>654</v>
      </c>
      <c r="O12" s="4">
        <v>617</v>
      </c>
      <c r="P12" s="11">
        <f t="shared" si="0"/>
        <v>6930</v>
      </c>
    </row>
    <row r="13" spans="1:16" ht="21.95" customHeight="1" x14ac:dyDescent="0.15">
      <c r="A13" s="201"/>
      <c r="B13" s="205"/>
      <c r="C13" s="1" t="s">
        <v>74</v>
      </c>
      <c r="D13" s="4">
        <v>841</v>
      </c>
      <c r="E13" s="4">
        <v>833</v>
      </c>
      <c r="F13" s="4">
        <v>1114</v>
      </c>
      <c r="G13" s="4">
        <v>1568</v>
      </c>
      <c r="H13" s="4">
        <v>1166</v>
      </c>
      <c r="I13" s="4">
        <v>1749</v>
      </c>
      <c r="J13" s="4">
        <v>1010</v>
      </c>
      <c r="K13" s="4">
        <v>2715</v>
      </c>
      <c r="L13" s="4">
        <v>2128</v>
      </c>
      <c r="M13" s="4">
        <v>1507</v>
      </c>
      <c r="N13" s="4">
        <v>1936</v>
      </c>
      <c r="O13" s="4">
        <v>2247</v>
      </c>
      <c r="P13" s="11">
        <f t="shared" si="0"/>
        <v>18814</v>
      </c>
    </row>
    <row r="14" spans="1:16" ht="21.95" customHeight="1" x14ac:dyDescent="0.15">
      <c r="A14" s="201"/>
      <c r="B14" s="205"/>
      <c r="C14" s="1" t="s">
        <v>75</v>
      </c>
      <c r="D14" s="4">
        <v>1814</v>
      </c>
      <c r="E14" s="4">
        <v>75</v>
      </c>
      <c r="F14" s="4">
        <v>1023</v>
      </c>
      <c r="G14" s="4">
        <v>1425</v>
      </c>
      <c r="H14" s="4">
        <v>1049</v>
      </c>
      <c r="I14" s="4">
        <v>2207</v>
      </c>
      <c r="J14" s="4">
        <v>1034</v>
      </c>
      <c r="K14" s="4">
        <v>3521</v>
      </c>
      <c r="L14" s="4">
        <v>927</v>
      </c>
      <c r="M14" s="4">
        <v>1586</v>
      </c>
      <c r="N14" s="4">
        <v>1158</v>
      </c>
      <c r="O14" s="4">
        <v>1492</v>
      </c>
      <c r="P14" s="11">
        <f t="shared" si="0"/>
        <v>17311</v>
      </c>
    </row>
    <row r="15" spans="1:16" ht="21.95" customHeight="1" x14ac:dyDescent="0.15">
      <c r="A15" s="201"/>
      <c r="B15" s="205"/>
      <c r="C15" s="1" t="s">
        <v>76</v>
      </c>
      <c r="D15" s="4">
        <v>408</v>
      </c>
      <c r="E15" s="4">
        <v>141</v>
      </c>
      <c r="F15" s="4">
        <v>18</v>
      </c>
      <c r="G15" s="4">
        <v>405</v>
      </c>
      <c r="H15" s="4">
        <v>49</v>
      </c>
      <c r="I15" s="4">
        <v>342</v>
      </c>
      <c r="J15" s="4">
        <v>0</v>
      </c>
      <c r="K15" s="4">
        <v>105</v>
      </c>
      <c r="L15" s="4">
        <v>44</v>
      </c>
      <c r="M15" s="4">
        <v>0</v>
      </c>
      <c r="N15" s="4">
        <v>0</v>
      </c>
      <c r="O15" s="4">
        <v>0</v>
      </c>
      <c r="P15" s="11">
        <f t="shared" si="0"/>
        <v>1512</v>
      </c>
    </row>
    <row r="16" spans="1:16" ht="21.95" customHeight="1" x14ac:dyDescent="0.15">
      <c r="A16" s="201"/>
      <c r="B16" s="205"/>
      <c r="C16" s="1" t="s">
        <v>77</v>
      </c>
      <c r="D16" s="4">
        <v>251</v>
      </c>
      <c r="E16" s="4">
        <v>324</v>
      </c>
      <c r="F16" s="4">
        <v>0</v>
      </c>
      <c r="G16" s="4">
        <v>642</v>
      </c>
      <c r="H16" s="4">
        <v>1210</v>
      </c>
      <c r="I16" s="4">
        <v>0</v>
      </c>
      <c r="J16" s="4">
        <v>119</v>
      </c>
      <c r="K16" s="4">
        <v>338</v>
      </c>
      <c r="L16" s="4">
        <v>355</v>
      </c>
      <c r="M16" s="4">
        <v>238</v>
      </c>
      <c r="N16" s="4">
        <v>839</v>
      </c>
      <c r="O16" s="4">
        <v>0</v>
      </c>
      <c r="P16" s="11">
        <f>SUM(D16:O16)</f>
        <v>4316</v>
      </c>
    </row>
    <row r="17" spans="1:16" ht="21.95" customHeight="1" x14ac:dyDescent="0.15">
      <c r="A17" s="201"/>
      <c r="B17" s="205"/>
      <c r="C17" s="1" t="s">
        <v>78</v>
      </c>
      <c r="D17" s="4">
        <v>52</v>
      </c>
      <c r="E17" s="4">
        <v>41</v>
      </c>
      <c r="F17" s="4">
        <v>72</v>
      </c>
      <c r="G17" s="4">
        <v>49</v>
      </c>
      <c r="H17" s="4">
        <v>40</v>
      </c>
      <c r="I17" s="4">
        <v>51</v>
      </c>
      <c r="J17" s="4">
        <v>128</v>
      </c>
      <c r="K17" s="4">
        <v>127</v>
      </c>
      <c r="L17" s="4">
        <v>63</v>
      </c>
      <c r="M17" s="4">
        <v>20</v>
      </c>
      <c r="N17" s="4">
        <v>143</v>
      </c>
      <c r="O17" s="4">
        <v>141</v>
      </c>
      <c r="P17" s="11">
        <f>SUM(D17:O17)</f>
        <v>927</v>
      </c>
    </row>
    <row r="18" spans="1:16" ht="21.95" customHeight="1" x14ac:dyDescent="0.15">
      <c r="A18" s="201"/>
      <c r="B18" s="205"/>
      <c r="C18" s="1" t="s">
        <v>79</v>
      </c>
      <c r="D18" s="4">
        <v>55</v>
      </c>
      <c r="E18" s="4">
        <v>51</v>
      </c>
      <c r="F18" s="4">
        <v>127</v>
      </c>
      <c r="G18" s="4">
        <v>60</v>
      </c>
      <c r="H18" s="4">
        <v>124</v>
      </c>
      <c r="I18" s="4">
        <v>48</v>
      </c>
      <c r="J18" s="4">
        <v>92</v>
      </c>
      <c r="K18" s="4">
        <v>103</v>
      </c>
      <c r="L18" s="4">
        <v>110</v>
      </c>
      <c r="M18" s="4">
        <v>42</v>
      </c>
      <c r="N18" s="4">
        <v>121</v>
      </c>
      <c r="O18" s="4">
        <v>111</v>
      </c>
      <c r="P18" s="11">
        <f>SUM(D18:O18)</f>
        <v>1044</v>
      </c>
    </row>
    <row r="19" spans="1:16" ht="21.95" customHeight="1" x14ac:dyDescent="0.15">
      <c r="A19" s="201"/>
      <c r="B19" s="205"/>
      <c r="C19" s="1" t="s">
        <v>80</v>
      </c>
      <c r="D19" s="4">
        <v>216</v>
      </c>
      <c r="E19" s="4">
        <v>236</v>
      </c>
      <c r="F19" s="4">
        <v>253</v>
      </c>
      <c r="G19" s="4">
        <v>45</v>
      </c>
      <c r="H19" s="4">
        <v>10</v>
      </c>
      <c r="I19" s="4">
        <v>2</v>
      </c>
      <c r="J19" s="4">
        <v>32</v>
      </c>
      <c r="K19" s="4">
        <v>160</v>
      </c>
      <c r="L19" s="4">
        <v>77</v>
      </c>
      <c r="M19" s="4">
        <v>171</v>
      </c>
      <c r="N19" s="4">
        <v>129</v>
      </c>
      <c r="O19" s="4">
        <v>203</v>
      </c>
      <c r="P19" s="11">
        <f>SUM(D19:O19)</f>
        <v>1534</v>
      </c>
    </row>
    <row r="20" spans="1:16" ht="21.95" customHeight="1" x14ac:dyDescent="0.15">
      <c r="A20" s="201"/>
      <c r="B20" s="205"/>
      <c r="C20" s="1" t="s">
        <v>81</v>
      </c>
      <c r="D20" s="4">
        <v>108</v>
      </c>
      <c r="E20" s="4">
        <v>73</v>
      </c>
      <c r="F20" s="4">
        <v>50</v>
      </c>
      <c r="G20" s="4">
        <v>107</v>
      </c>
      <c r="H20" s="4">
        <v>137</v>
      </c>
      <c r="I20" s="4">
        <v>108</v>
      </c>
      <c r="J20" s="4">
        <v>89</v>
      </c>
      <c r="K20" s="4">
        <v>191</v>
      </c>
      <c r="L20" s="4">
        <v>409</v>
      </c>
      <c r="M20" s="4">
        <v>44</v>
      </c>
      <c r="N20" s="4">
        <v>336</v>
      </c>
      <c r="O20" s="4">
        <v>297</v>
      </c>
      <c r="P20" s="11">
        <f t="shared" si="0"/>
        <v>1949</v>
      </c>
    </row>
    <row r="21" spans="1:16" ht="21.95" customHeight="1" x14ac:dyDescent="0.15">
      <c r="A21" s="201"/>
      <c r="B21" s="205"/>
      <c r="C21" s="1" t="s">
        <v>82</v>
      </c>
      <c r="D21" s="4">
        <v>41</v>
      </c>
      <c r="E21" s="4">
        <v>31</v>
      </c>
      <c r="F21" s="4">
        <v>76</v>
      </c>
      <c r="G21" s="4">
        <v>75</v>
      </c>
      <c r="H21" s="4">
        <v>11</v>
      </c>
      <c r="I21" s="4">
        <v>57</v>
      </c>
      <c r="J21" s="4">
        <v>20</v>
      </c>
      <c r="K21" s="4">
        <v>74</v>
      </c>
      <c r="L21" s="4">
        <v>96</v>
      </c>
      <c r="M21" s="4">
        <v>63</v>
      </c>
      <c r="N21" s="4">
        <v>106</v>
      </c>
      <c r="O21" s="4">
        <v>62</v>
      </c>
      <c r="P21" s="11">
        <f t="shared" si="0"/>
        <v>712</v>
      </c>
    </row>
    <row r="22" spans="1:16" ht="21.95" customHeight="1" x14ac:dyDescent="0.15">
      <c r="A22" s="201"/>
      <c r="B22" s="205"/>
      <c r="C22" s="1" t="s">
        <v>83</v>
      </c>
      <c r="D22" s="4">
        <v>0</v>
      </c>
      <c r="E22" s="4">
        <v>0</v>
      </c>
      <c r="F22" s="4">
        <v>0</v>
      </c>
      <c r="G22" s="4">
        <v>66</v>
      </c>
      <c r="H22" s="4">
        <v>0</v>
      </c>
      <c r="I22" s="4">
        <v>0</v>
      </c>
      <c r="J22" s="4">
        <v>0</v>
      </c>
      <c r="K22" s="4">
        <v>14</v>
      </c>
      <c r="L22" s="4"/>
      <c r="M22" s="4">
        <v>0</v>
      </c>
      <c r="N22" s="4">
        <v>0</v>
      </c>
      <c r="O22" s="4">
        <v>0</v>
      </c>
      <c r="P22" s="11">
        <f>SUM(D22:O22)</f>
        <v>80</v>
      </c>
    </row>
    <row r="23" spans="1:16" ht="21.95" customHeight="1" x14ac:dyDescent="0.15">
      <c r="A23" s="201"/>
      <c r="B23" s="205"/>
      <c r="C23" s="1" t="s">
        <v>84</v>
      </c>
      <c r="D23" s="4">
        <v>0</v>
      </c>
      <c r="E23" s="4">
        <v>0</v>
      </c>
      <c r="F23" s="4">
        <v>0</v>
      </c>
      <c r="G23" s="4">
        <v>575</v>
      </c>
      <c r="H23" s="4">
        <v>419</v>
      </c>
      <c r="I23" s="4">
        <v>691</v>
      </c>
      <c r="J23" s="4">
        <v>672</v>
      </c>
      <c r="K23" s="4">
        <v>560</v>
      </c>
      <c r="L23" s="4">
        <v>915</v>
      </c>
      <c r="M23" s="4">
        <v>767</v>
      </c>
      <c r="N23" s="4">
        <v>1137</v>
      </c>
      <c r="O23" s="4">
        <v>1119</v>
      </c>
      <c r="P23" s="11">
        <f>SUM(D23:O23)</f>
        <v>6855</v>
      </c>
    </row>
    <row r="24" spans="1:16" ht="21.95" customHeight="1" x14ac:dyDescent="0.15">
      <c r="A24" s="201"/>
      <c r="B24" s="205"/>
      <c r="C24" s="1" t="s">
        <v>85</v>
      </c>
      <c r="D24" s="4">
        <v>0</v>
      </c>
      <c r="E24" s="4">
        <v>0</v>
      </c>
      <c r="F24" s="4">
        <v>0</v>
      </c>
      <c r="G24" s="4">
        <v>40</v>
      </c>
      <c r="H24" s="4">
        <v>0</v>
      </c>
      <c r="I24" s="4">
        <v>0</v>
      </c>
      <c r="J24" s="4">
        <v>0</v>
      </c>
      <c r="K24" s="4">
        <v>116</v>
      </c>
      <c r="L24" s="4">
        <v>0</v>
      </c>
      <c r="M24" s="4">
        <v>0</v>
      </c>
      <c r="N24" s="4">
        <v>0</v>
      </c>
      <c r="O24" s="4">
        <v>0</v>
      </c>
      <c r="P24" s="11">
        <f>SUM(D24:O24)</f>
        <v>156</v>
      </c>
    </row>
    <row r="25" spans="1:16" ht="21.95" customHeight="1" x14ac:dyDescent="0.15">
      <c r="A25" s="201"/>
      <c r="B25" s="205"/>
      <c r="C25" s="1" t="s">
        <v>86</v>
      </c>
      <c r="D25" s="4">
        <v>0</v>
      </c>
      <c r="E25" s="4">
        <v>0</v>
      </c>
      <c r="F25" s="4">
        <v>0</v>
      </c>
      <c r="G25" s="4">
        <v>0</v>
      </c>
      <c r="H25" s="4">
        <v>1</v>
      </c>
      <c r="I25" s="4">
        <v>2</v>
      </c>
      <c r="J25" s="4">
        <v>1</v>
      </c>
      <c r="K25" s="4">
        <v>3</v>
      </c>
      <c r="L25" s="4">
        <v>0</v>
      </c>
      <c r="M25" s="4">
        <v>1</v>
      </c>
      <c r="N25" s="4">
        <v>1</v>
      </c>
      <c r="O25" s="4">
        <v>0</v>
      </c>
      <c r="P25" s="11">
        <f>SUM(D25:O25)</f>
        <v>9</v>
      </c>
    </row>
    <row r="26" spans="1:16" ht="21.95" customHeight="1" x14ac:dyDescent="0.15">
      <c r="A26" s="201"/>
      <c r="B26" s="205"/>
      <c r="C26" s="1" t="s">
        <v>87</v>
      </c>
      <c r="D26" s="4">
        <v>136</v>
      </c>
      <c r="E26" s="4">
        <v>199</v>
      </c>
      <c r="F26" s="4">
        <v>147</v>
      </c>
      <c r="G26" s="4">
        <v>259</v>
      </c>
      <c r="H26" s="4">
        <v>584</v>
      </c>
      <c r="I26" s="4">
        <v>217</v>
      </c>
      <c r="J26" s="4">
        <v>81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11">
        <f t="shared" si="0"/>
        <v>1623</v>
      </c>
    </row>
    <row r="27" spans="1:16" ht="21.95" customHeight="1" x14ac:dyDescent="0.15">
      <c r="A27" s="201"/>
      <c r="B27" s="206" t="s">
        <v>88</v>
      </c>
      <c r="C27" s="1" t="s">
        <v>89</v>
      </c>
      <c r="D27" s="4">
        <v>59</v>
      </c>
      <c r="E27" s="4">
        <v>18</v>
      </c>
      <c r="F27" s="4">
        <v>56</v>
      </c>
      <c r="G27" s="4">
        <v>55</v>
      </c>
      <c r="H27" s="4">
        <v>134</v>
      </c>
      <c r="I27" s="4">
        <v>59</v>
      </c>
      <c r="J27" s="4">
        <v>47</v>
      </c>
      <c r="K27" s="4">
        <v>49</v>
      </c>
      <c r="L27" s="4">
        <v>78</v>
      </c>
      <c r="M27" s="4">
        <v>71</v>
      </c>
      <c r="N27" s="4">
        <v>65</v>
      </c>
      <c r="O27" s="4">
        <v>38</v>
      </c>
      <c r="P27" s="11">
        <f>SUM(D27:O27)</f>
        <v>729</v>
      </c>
    </row>
    <row r="28" spans="1:16" ht="21.95" customHeight="1" x14ac:dyDescent="0.15">
      <c r="A28" s="201"/>
      <c r="B28" s="205"/>
      <c r="C28" s="1" t="s">
        <v>90</v>
      </c>
      <c r="D28" s="4">
        <v>0</v>
      </c>
      <c r="E28" s="4">
        <v>10</v>
      </c>
      <c r="F28" s="4">
        <v>23</v>
      </c>
      <c r="G28" s="4">
        <v>22</v>
      </c>
      <c r="H28" s="4">
        <v>74</v>
      </c>
      <c r="I28" s="4">
        <v>37</v>
      </c>
      <c r="J28" s="4">
        <v>0</v>
      </c>
      <c r="K28" s="4">
        <v>58</v>
      </c>
      <c r="L28" s="4">
        <v>0</v>
      </c>
      <c r="M28" s="4">
        <v>0</v>
      </c>
      <c r="N28" s="4">
        <v>24</v>
      </c>
      <c r="O28" s="4">
        <v>26</v>
      </c>
      <c r="P28" s="11">
        <f>SUM(D28:O28)</f>
        <v>274</v>
      </c>
    </row>
    <row r="29" spans="1:16" ht="21.95" customHeight="1" x14ac:dyDescent="0.15">
      <c r="A29" s="201"/>
      <c r="B29" s="205"/>
      <c r="C29" s="1" t="s">
        <v>91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11">
        <f>SUM(D29:O29)</f>
        <v>0</v>
      </c>
    </row>
    <row r="30" spans="1:16" ht="21.95" customHeight="1" x14ac:dyDescent="0.15">
      <c r="A30" s="201"/>
      <c r="B30" s="205"/>
      <c r="C30" s="1" t="s">
        <v>92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11">
        <f>SUM(D30:O30)</f>
        <v>0</v>
      </c>
    </row>
    <row r="31" spans="1:16" ht="21.95" customHeight="1" x14ac:dyDescent="0.15">
      <c r="A31" s="201"/>
      <c r="B31" s="205"/>
      <c r="C31" s="1" t="s">
        <v>93</v>
      </c>
      <c r="D31" s="4">
        <v>86</v>
      </c>
      <c r="E31" s="4">
        <v>58</v>
      </c>
      <c r="F31" s="4">
        <v>93</v>
      </c>
      <c r="G31" s="4">
        <v>94</v>
      </c>
      <c r="H31" s="4">
        <v>120</v>
      </c>
      <c r="I31" s="4">
        <v>57</v>
      </c>
      <c r="J31" s="4">
        <v>70</v>
      </c>
      <c r="K31" s="4">
        <v>112</v>
      </c>
      <c r="L31" s="4">
        <v>143</v>
      </c>
      <c r="M31" s="4">
        <v>95</v>
      </c>
      <c r="N31" s="4">
        <v>213</v>
      </c>
      <c r="O31" s="4">
        <v>88</v>
      </c>
      <c r="P31" s="11">
        <f>SUM(D31:O31)</f>
        <v>1229</v>
      </c>
    </row>
    <row r="32" spans="1:16" ht="24.75" customHeight="1" x14ac:dyDescent="0.15">
      <c r="A32" s="201"/>
      <c r="B32" s="199" t="s">
        <v>94</v>
      </c>
      <c r="C32" s="199"/>
      <c r="D32" s="6">
        <f>SUM(D11:D31)</f>
        <v>4427</v>
      </c>
      <c r="E32" s="6">
        <f t="shared" ref="E32:O32" si="3">SUM(E11:E31)</f>
        <v>2408</v>
      </c>
      <c r="F32" s="6">
        <f t="shared" si="3"/>
        <v>3413</v>
      </c>
      <c r="G32" s="6">
        <f t="shared" si="3"/>
        <v>6116</v>
      </c>
      <c r="H32" s="6">
        <f t="shared" si="3"/>
        <v>5543</v>
      </c>
      <c r="I32" s="6">
        <f t="shared" si="3"/>
        <v>6581</v>
      </c>
      <c r="J32" s="6">
        <f t="shared" si="3"/>
        <v>3849</v>
      </c>
      <c r="K32" s="6">
        <f t="shared" si="3"/>
        <v>9939</v>
      </c>
      <c r="L32" s="6">
        <f t="shared" si="3"/>
        <v>7666</v>
      </c>
      <c r="M32" s="6">
        <f t="shared" si="3"/>
        <v>6003</v>
      </c>
      <c r="N32" s="6">
        <f t="shared" si="3"/>
        <v>7952</v>
      </c>
      <c r="O32" s="6">
        <f t="shared" si="3"/>
        <v>7274</v>
      </c>
      <c r="P32" s="13">
        <f t="shared" si="0"/>
        <v>71171</v>
      </c>
    </row>
    <row r="33" spans="1:16" s="2" customFormat="1" ht="26.45" customHeight="1" x14ac:dyDescent="0.15">
      <c r="A33" s="202" t="s">
        <v>95</v>
      </c>
      <c r="B33" s="203"/>
      <c r="C33" s="203"/>
      <c r="D33" s="7">
        <f>SUM(D10,D32)</f>
        <v>54126</v>
      </c>
      <c r="E33" s="7">
        <f t="shared" ref="E33:O33" si="4">SUM(E10,E32)</f>
        <v>45088</v>
      </c>
      <c r="F33" s="7">
        <f t="shared" si="4"/>
        <v>56225</v>
      </c>
      <c r="G33" s="7">
        <f t="shared" si="4"/>
        <v>67711</v>
      </c>
      <c r="H33" s="7">
        <f t="shared" si="4"/>
        <v>66978</v>
      </c>
      <c r="I33" s="7">
        <f t="shared" si="4"/>
        <v>73290</v>
      </c>
      <c r="J33" s="7">
        <f t="shared" si="4"/>
        <v>76075</v>
      </c>
      <c r="K33" s="7">
        <f t="shared" si="4"/>
        <v>54911</v>
      </c>
      <c r="L33" s="7">
        <f t="shared" si="4"/>
        <v>63364</v>
      </c>
      <c r="M33" s="7">
        <f t="shared" si="4"/>
        <v>74097</v>
      </c>
      <c r="N33" s="7">
        <f t="shared" si="4"/>
        <v>80356</v>
      </c>
      <c r="O33" s="7">
        <f t="shared" si="4"/>
        <v>76155</v>
      </c>
      <c r="P33" s="12">
        <f t="shared" si="0"/>
        <v>788376</v>
      </c>
    </row>
    <row r="34" spans="1:16" ht="21.95" customHeight="1" x14ac:dyDescent="0.15">
      <c r="A34" s="204" t="s">
        <v>96</v>
      </c>
      <c r="B34" s="205"/>
      <c r="C34" s="205"/>
      <c r="D34" s="4">
        <v>11304</v>
      </c>
      <c r="E34" s="4">
        <v>12838</v>
      </c>
      <c r="F34" s="4">
        <v>15010</v>
      </c>
      <c r="G34" s="4">
        <v>15121</v>
      </c>
      <c r="H34" s="4">
        <v>10260</v>
      </c>
      <c r="I34" s="4">
        <v>11081</v>
      </c>
      <c r="J34" s="4">
        <v>14857</v>
      </c>
      <c r="K34" s="4">
        <v>9987</v>
      </c>
      <c r="L34" s="4">
        <v>13224</v>
      </c>
      <c r="M34" s="4">
        <v>10026</v>
      </c>
      <c r="N34" s="4">
        <v>14115</v>
      </c>
      <c r="O34" s="4">
        <v>20750</v>
      </c>
      <c r="P34" s="11">
        <f t="shared" si="0"/>
        <v>158573</v>
      </c>
    </row>
    <row r="35" spans="1:16" s="2" customFormat="1" ht="27.75" customHeight="1" thickBot="1" x14ac:dyDescent="0.2">
      <c r="A35" s="197" t="s">
        <v>97</v>
      </c>
      <c r="B35" s="198"/>
      <c r="C35" s="198"/>
      <c r="D35" s="10">
        <f>D33+D34</f>
        <v>65430</v>
      </c>
      <c r="E35" s="10">
        <f t="shared" ref="E35:O35" si="5">E33+E34</f>
        <v>57926</v>
      </c>
      <c r="F35" s="10">
        <f t="shared" si="5"/>
        <v>71235</v>
      </c>
      <c r="G35" s="10">
        <f t="shared" si="5"/>
        <v>82832</v>
      </c>
      <c r="H35" s="10">
        <f t="shared" si="5"/>
        <v>77238</v>
      </c>
      <c r="I35" s="10">
        <f t="shared" si="5"/>
        <v>84371</v>
      </c>
      <c r="J35" s="10">
        <f t="shared" si="5"/>
        <v>90932</v>
      </c>
      <c r="K35" s="10">
        <f t="shared" si="5"/>
        <v>64898</v>
      </c>
      <c r="L35" s="10">
        <f t="shared" si="5"/>
        <v>76588</v>
      </c>
      <c r="M35" s="10">
        <f t="shared" si="5"/>
        <v>84123</v>
      </c>
      <c r="N35" s="10">
        <f t="shared" si="5"/>
        <v>94471</v>
      </c>
      <c r="O35" s="10">
        <f t="shared" si="5"/>
        <v>96905</v>
      </c>
      <c r="P35" s="14">
        <f t="shared" si="0"/>
        <v>946949</v>
      </c>
    </row>
    <row r="36" spans="1:16" ht="20.100000000000001" customHeight="1" x14ac:dyDescent="0.15"/>
  </sheetData>
  <mergeCells count="13">
    <mergeCell ref="A1:P1"/>
    <mergeCell ref="A2:C2"/>
    <mergeCell ref="A3:A10"/>
    <mergeCell ref="B3:B8"/>
    <mergeCell ref="B9:C9"/>
    <mergeCell ref="B10:C10"/>
    <mergeCell ref="A35:C35"/>
    <mergeCell ref="A11:A32"/>
    <mergeCell ref="B11:B26"/>
    <mergeCell ref="B27:B31"/>
    <mergeCell ref="B32:C32"/>
    <mergeCell ref="A33:C33"/>
    <mergeCell ref="A34:C34"/>
  </mergeCells>
  <phoneticPr fontId="14" type="noConversion"/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P37"/>
  <sheetViews>
    <sheetView workbookViewId="0">
      <pane xSplit="3" ySplit="2" topLeftCell="J3" activePane="bottomRight" state="frozen"/>
      <selection pane="topRight" activeCell="D1" sqref="D1"/>
      <selection pane="bottomLeft" activeCell="A3" sqref="A3"/>
      <selection pane="bottomRight" activeCell="O36" sqref="O36"/>
    </sheetView>
  </sheetViews>
  <sheetFormatPr defaultRowHeight="13.5" x14ac:dyDescent="0.15"/>
  <cols>
    <col min="1" max="1" width="5.21875" customWidth="1"/>
    <col min="2" max="2" width="5.44140625" customWidth="1"/>
    <col min="3" max="3" width="12.44140625" customWidth="1"/>
    <col min="4" max="15" width="9.6640625" customWidth="1"/>
    <col min="16" max="16" width="12.6640625" style="2" customWidth="1"/>
  </cols>
  <sheetData>
    <row r="1" spans="1:16" ht="25.5" customHeight="1" thickBot="1" x14ac:dyDescent="0.2">
      <c r="A1" s="207" t="s">
        <v>54</v>
      </c>
      <c r="B1" s="208"/>
      <c r="C1" s="208"/>
      <c r="D1" s="208"/>
      <c r="E1" s="208"/>
      <c r="F1" s="208"/>
      <c r="G1" s="208"/>
      <c r="H1" s="208"/>
      <c r="I1" s="208"/>
      <c r="J1" s="208"/>
      <c r="K1" s="208"/>
      <c r="L1" s="208"/>
      <c r="M1" s="208"/>
      <c r="N1" s="208"/>
      <c r="O1" s="208"/>
      <c r="P1" s="208"/>
    </row>
    <row r="2" spans="1:16" ht="25.5" customHeight="1" x14ac:dyDescent="0.15">
      <c r="A2" s="209" t="s">
        <v>13</v>
      </c>
      <c r="B2" s="210"/>
      <c r="C2" s="210"/>
      <c r="D2" s="8" t="s">
        <v>0</v>
      </c>
      <c r="E2" s="8" t="s">
        <v>1</v>
      </c>
      <c r="F2" s="8" t="s">
        <v>2</v>
      </c>
      <c r="G2" s="8" t="s">
        <v>3</v>
      </c>
      <c r="H2" s="8" t="s">
        <v>4</v>
      </c>
      <c r="I2" s="8" t="s">
        <v>5</v>
      </c>
      <c r="J2" s="8" t="s">
        <v>6</v>
      </c>
      <c r="K2" s="8" t="s">
        <v>7</v>
      </c>
      <c r="L2" s="8" t="s">
        <v>8</v>
      </c>
      <c r="M2" s="8" t="s">
        <v>9</v>
      </c>
      <c r="N2" s="8" t="s">
        <v>10</v>
      </c>
      <c r="O2" s="8" t="s">
        <v>11</v>
      </c>
      <c r="P2" s="9" t="s">
        <v>44</v>
      </c>
    </row>
    <row r="3" spans="1:16" ht="21.95" customHeight="1" x14ac:dyDescent="0.15">
      <c r="A3" s="200" t="s">
        <v>14</v>
      </c>
      <c r="B3" s="206" t="s">
        <v>15</v>
      </c>
      <c r="C3" s="1" t="s">
        <v>16</v>
      </c>
      <c r="D3" s="4">
        <v>62324</v>
      </c>
      <c r="E3" s="4">
        <v>43168</v>
      </c>
      <c r="F3" s="4">
        <v>61917</v>
      </c>
      <c r="G3" s="4">
        <v>58416</v>
      </c>
      <c r="H3" s="4">
        <v>52039</v>
      </c>
      <c r="I3" s="4">
        <v>60664</v>
      </c>
      <c r="J3" s="4">
        <v>71400</v>
      </c>
      <c r="K3" s="4">
        <v>45462</v>
      </c>
      <c r="L3" s="4">
        <v>50190</v>
      </c>
      <c r="M3" s="4">
        <v>55268</v>
      </c>
      <c r="N3" s="4">
        <v>69636</v>
      </c>
      <c r="O3" s="4">
        <v>72864</v>
      </c>
      <c r="P3" s="11">
        <f>SUM(D3:O3)</f>
        <v>703348</v>
      </c>
    </row>
    <row r="4" spans="1:16" ht="21.95" customHeight="1" x14ac:dyDescent="0.15">
      <c r="A4" s="200"/>
      <c r="B4" s="205"/>
      <c r="C4" s="1" t="s">
        <v>17</v>
      </c>
      <c r="D4" s="4">
        <v>5999</v>
      </c>
      <c r="E4" s="4">
        <v>6643</v>
      </c>
      <c r="F4" s="4">
        <v>9334</v>
      </c>
      <c r="G4" s="4">
        <v>9184</v>
      </c>
      <c r="H4" s="4">
        <v>6628</v>
      </c>
      <c r="I4" s="4">
        <v>7621</v>
      </c>
      <c r="J4" s="4">
        <v>9204</v>
      </c>
      <c r="K4" s="4">
        <v>2341</v>
      </c>
      <c r="L4" s="4">
        <v>3915</v>
      </c>
      <c r="M4" s="4">
        <v>9494</v>
      </c>
      <c r="N4" s="4">
        <v>7069</v>
      </c>
      <c r="O4" s="4">
        <v>10107</v>
      </c>
      <c r="P4" s="11">
        <f t="shared" ref="P4:P36" si="0">SUM(D4:O4)</f>
        <v>87539</v>
      </c>
    </row>
    <row r="5" spans="1:16" ht="21.95" customHeight="1" x14ac:dyDescent="0.15">
      <c r="A5" s="200"/>
      <c r="B5" s="205"/>
      <c r="C5" s="1" t="s">
        <v>45</v>
      </c>
      <c r="D5" s="4">
        <v>132</v>
      </c>
      <c r="E5" s="4">
        <v>0</v>
      </c>
      <c r="F5" s="4">
        <v>0</v>
      </c>
      <c r="G5" s="4">
        <v>0</v>
      </c>
      <c r="H5" s="4">
        <v>0</v>
      </c>
      <c r="I5" s="4">
        <v>194</v>
      </c>
      <c r="J5" s="4">
        <v>0</v>
      </c>
      <c r="K5" s="4">
        <v>0</v>
      </c>
      <c r="L5" s="4">
        <v>1</v>
      </c>
      <c r="M5" s="4">
        <v>0</v>
      </c>
      <c r="N5" s="4">
        <v>0</v>
      </c>
      <c r="O5" s="4">
        <v>0</v>
      </c>
      <c r="P5" s="11">
        <f>SUM(D5:O5)</f>
        <v>327</v>
      </c>
    </row>
    <row r="6" spans="1:16" ht="21.95" customHeight="1" x14ac:dyDescent="0.15">
      <c r="A6" s="200"/>
      <c r="B6" s="205"/>
      <c r="C6" s="1" t="s">
        <v>18</v>
      </c>
      <c r="D6" s="4">
        <v>3352</v>
      </c>
      <c r="E6" s="4">
        <v>1491</v>
      </c>
      <c r="F6" s="4">
        <v>3588</v>
      </c>
      <c r="G6" s="4">
        <v>2409</v>
      </c>
      <c r="H6" s="4">
        <v>3123</v>
      </c>
      <c r="I6" s="4">
        <v>4610</v>
      </c>
      <c r="J6" s="4">
        <v>4777</v>
      </c>
      <c r="K6" s="4">
        <v>3176</v>
      </c>
      <c r="L6" s="4">
        <v>3356</v>
      </c>
      <c r="M6" s="4">
        <v>5147</v>
      </c>
      <c r="N6" s="4">
        <v>3270</v>
      </c>
      <c r="O6" s="4">
        <v>2391</v>
      </c>
      <c r="P6" s="11">
        <f t="shared" si="0"/>
        <v>40690</v>
      </c>
    </row>
    <row r="7" spans="1:16" ht="21.95" customHeight="1" x14ac:dyDescent="0.15">
      <c r="A7" s="200"/>
      <c r="B7" s="205"/>
      <c r="C7" s="1" t="s">
        <v>19</v>
      </c>
      <c r="D7" s="4">
        <v>1</v>
      </c>
      <c r="E7" s="4">
        <v>3</v>
      </c>
      <c r="F7" s="4">
        <v>17</v>
      </c>
      <c r="G7" s="4">
        <v>30</v>
      </c>
      <c r="H7" s="4">
        <v>36</v>
      </c>
      <c r="I7" s="4">
        <v>8</v>
      </c>
      <c r="J7" s="4">
        <v>101</v>
      </c>
      <c r="K7" s="4">
        <v>28</v>
      </c>
      <c r="L7" s="4">
        <v>83</v>
      </c>
      <c r="M7" s="4">
        <v>47</v>
      </c>
      <c r="N7" s="4">
        <v>16</v>
      </c>
      <c r="O7" s="4">
        <v>35</v>
      </c>
      <c r="P7" s="11">
        <f t="shared" si="0"/>
        <v>405</v>
      </c>
    </row>
    <row r="8" spans="1:16" ht="21.95" customHeight="1" x14ac:dyDescent="0.15">
      <c r="A8" s="200"/>
      <c r="B8" s="205"/>
      <c r="C8" s="3" t="s">
        <v>22</v>
      </c>
      <c r="D8" s="5">
        <f t="shared" ref="D8:O8" si="1">SUM(D3:D7)</f>
        <v>71808</v>
      </c>
      <c r="E8" s="5">
        <f t="shared" si="1"/>
        <v>51305</v>
      </c>
      <c r="F8" s="5">
        <f t="shared" si="1"/>
        <v>74856</v>
      </c>
      <c r="G8" s="5">
        <f t="shared" si="1"/>
        <v>70039</v>
      </c>
      <c r="H8" s="5">
        <f t="shared" si="1"/>
        <v>61826</v>
      </c>
      <c r="I8" s="5">
        <f t="shared" si="1"/>
        <v>73097</v>
      </c>
      <c r="J8" s="5">
        <f t="shared" si="1"/>
        <v>85482</v>
      </c>
      <c r="K8" s="5">
        <f t="shared" si="1"/>
        <v>51007</v>
      </c>
      <c r="L8" s="5">
        <f t="shared" si="1"/>
        <v>57545</v>
      </c>
      <c r="M8" s="5">
        <f t="shared" si="1"/>
        <v>69956</v>
      </c>
      <c r="N8" s="5">
        <f t="shared" si="1"/>
        <v>79991</v>
      </c>
      <c r="O8" s="5">
        <f t="shared" si="1"/>
        <v>85397</v>
      </c>
      <c r="P8" s="11">
        <f t="shared" si="0"/>
        <v>832309</v>
      </c>
    </row>
    <row r="9" spans="1:16" ht="21.95" customHeight="1" x14ac:dyDescent="0.15">
      <c r="A9" s="200"/>
      <c r="B9" s="205" t="s">
        <v>20</v>
      </c>
      <c r="C9" s="205"/>
      <c r="D9" s="4">
        <v>357</v>
      </c>
      <c r="E9" s="4">
        <v>288</v>
      </c>
      <c r="F9" s="4">
        <v>105</v>
      </c>
      <c r="G9" s="4">
        <v>426</v>
      </c>
      <c r="H9" s="4">
        <v>671</v>
      </c>
      <c r="I9" s="4">
        <v>307</v>
      </c>
      <c r="J9" s="4">
        <v>434</v>
      </c>
      <c r="K9" s="4">
        <v>721</v>
      </c>
      <c r="L9" s="4">
        <v>612</v>
      </c>
      <c r="M9" s="4">
        <v>273</v>
      </c>
      <c r="N9" s="4">
        <v>129</v>
      </c>
      <c r="O9" s="4">
        <v>229</v>
      </c>
      <c r="P9" s="11">
        <f t="shared" si="0"/>
        <v>4552</v>
      </c>
    </row>
    <row r="10" spans="1:16" ht="26.45" customHeight="1" x14ac:dyDescent="0.15">
      <c r="A10" s="200"/>
      <c r="B10" s="199" t="s">
        <v>39</v>
      </c>
      <c r="C10" s="199"/>
      <c r="D10" s="6">
        <f>D8+D9</f>
        <v>72165</v>
      </c>
      <c r="E10" s="6">
        <f t="shared" ref="E10:O10" si="2">E8+E9</f>
        <v>51593</v>
      </c>
      <c r="F10" s="6">
        <f t="shared" si="2"/>
        <v>74961</v>
      </c>
      <c r="G10" s="6">
        <f t="shared" si="2"/>
        <v>70465</v>
      </c>
      <c r="H10" s="6">
        <f t="shared" si="2"/>
        <v>62497</v>
      </c>
      <c r="I10" s="6">
        <f t="shared" si="2"/>
        <v>73404</v>
      </c>
      <c r="J10" s="6">
        <f t="shared" si="2"/>
        <v>85916</v>
      </c>
      <c r="K10" s="6">
        <f t="shared" si="2"/>
        <v>51728</v>
      </c>
      <c r="L10" s="6">
        <f t="shared" si="2"/>
        <v>58157</v>
      </c>
      <c r="M10" s="6">
        <f t="shared" si="2"/>
        <v>70229</v>
      </c>
      <c r="N10" s="6">
        <f t="shared" si="2"/>
        <v>80120</v>
      </c>
      <c r="O10" s="6">
        <f t="shared" si="2"/>
        <v>85626</v>
      </c>
      <c r="P10" s="13">
        <f t="shared" si="0"/>
        <v>836861</v>
      </c>
    </row>
    <row r="11" spans="1:16" ht="21.95" customHeight="1" x14ac:dyDescent="0.15">
      <c r="A11" s="200" t="s">
        <v>21</v>
      </c>
      <c r="B11" s="206" t="s">
        <v>35</v>
      </c>
      <c r="C11" s="1" t="s">
        <v>23</v>
      </c>
      <c r="D11" s="4">
        <v>531</v>
      </c>
      <c r="E11" s="4">
        <v>1245</v>
      </c>
      <c r="F11" s="4">
        <v>746</v>
      </c>
      <c r="G11" s="4">
        <v>680</v>
      </c>
      <c r="H11" s="4">
        <v>1028</v>
      </c>
      <c r="I11" s="4">
        <v>635</v>
      </c>
      <c r="J11" s="4">
        <v>316</v>
      </c>
      <c r="K11" s="4">
        <v>1108</v>
      </c>
      <c r="L11" s="4">
        <v>1186</v>
      </c>
      <c r="M11" s="4">
        <v>417</v>
      </c>
      <c r="N11" s="4">
        <v>1295</v>
      </c>
      <c r="O11" s="4">
        <v>1330</v>
      </c>
      <c r="P11" s="11">
        <f t="shared" si="0"/>
        <v>10517</v>
      </c>
    </row>
    <row r="12" spans="1:16" ht="21.95" customHeight="1" x14ac:dyDescent="0.15">
      <c r="A12" s="201"/>
      <c r="B12" s="205"/>
      <c r="C12" s="1" t="s">
        <v>24</v>
      </c>
      <c r="D12" s="4">
        <v>158</v>
      </c>
      <c r="E12" s="4">
        <v>1015</v>
      </c>
      <c r="F12" s="4">
        <v>483</v>
      </c>
      <c r="G12" s="4">
        <v>1370</v>
      </c>
      <c r="H12" s="4">
        <v>831</v>
      </c>
      <c r="I12" s="4">
        <v>1274</v>
      </c>
      <c r="J12" s="4">
        <v>876</v>
      </c>
      <c r="K12" s="4">
        <v>2154</v>
      </c>
      <c r="L12" s="4">
        <v>1219</v>
      </c>
      <c r="M12" s="4">
        <v>834</v>
      </c>
      <c r="N12" s="4">
        <v>961</v>
      </c>
      <c r="O12" s="4">
        <v>1355</v>
      </c>
      <c r="P12" s="11">
        <f t="shared" si="0"/>
        <v>12530</v>
      </c>
    </row>
    <row r="13" spans="1:16" ht="21.95" customHeight="1" x14ac:dyDescent="0.15">
      <c r="A13" s="201"/>
      <c r="B13" s="205"/>
      <c r="C13" s="1" t="s">
        <v>25</v>
      </c>
      <c r="D13" s="4">
        <v>923</v>
      </c>
      <c r="E13" s="4">
        <v>3446</v>
      </c>
      <c r="F13" s="4">
        <v>3168</v>
      </c>
      <c r="G13" s="4">
        <v>2760</v>
      </c>
      <c r="H13" s="4">
        <v>4019</v>
      </c>
      <c r="I13" s="4">
        <v>2616</v>
      </c>
      <c r="J13" s="4">
        <v>1509</v>
      </c>
      <c r="K13" s="4">
        <v>2032</v>
      </c>
      <c r="L13" s="4">
        <v>3780</v>
      </c>
      <c r="M13" s="4">
        <v>1684</v>
      </c>
      <c r="N13" s="4">
        <v>1772</v>
      </c>
      <c r="O13" s="4">
        <v>1560</v>
      </c>
      <c r="P13" s="11">
        <f t="shared" si="0"/>
        <v>29269</v>
      </c>
    </row>
    <row r="14" spans="1:16" ht="21.95" customHeight="1" x14ac:dyDescent="0.15">
      <c r="A14" s="201"/>
      <c r="B14" s="205"/>
      <c r="C14" s="1" t="s">
        <v>26</v>
      </c>
      <c r="D14" s="4">
        <v>1399</v>
      </c>
      <c r="E14" s="4">
        <v>2619</v>
      </c>
      <c r="F14" s="4">
        <v>2157</v>
      </c>
      <c r="G14" s="4">
        <v>1696</v>
      </c>
      <c r="H14" s="4">
        <v>2941</v>
      </c>
      <c r="I14" s="4">
        <v>1677</v>
      </c>
      <c r="J14" s="4">
        <v>752</v>
      </c>
      <c r="K14" s="4">
        <v>1132</v>
      </c>
      <c r="L14" s="4">
        <v>2983</v>
      </c>
      <c r="M14" s="4">
        <v>1121</v>
      </c>
      <c r="N14" s="4">
        <v>1433</v>
      </c>
      <c r="O14" s="4">
        <v>1550</v>
      </c>
      <c r="P14" s="11">
        <f t="shared" si="0"/>
        <v>21460</v>
      </c>
    </row>
    <row r="15" spans="1:16" ht="21.95" customHeight="1" x14ac:dyDescent="0.15">
      <c r="A15" s="201"/>
      <c r="B15" s="205"/>
      <c r="C15" s="1" t="s">
        <v>27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63</v>
      </c>
      <c r="J15" s="4">
        <v>358</v>
      </c>
      <c r="K15" s="4">
        <v>655</v>
      </c>
      <c r="L15" s="4">
        <v>192</v>
      </c>
      <c r="M15" s="4">
        <v>202</v>
      </c>
      <c r="N15" s="4">
        <v>330</v>
      </c>
      <c r="O15" s="4">
        <v>503</v>
      </c>
      <c r="P15" s="11">
        <f t="shared" si="0"/>
        <v>2303</v>
      </c>
    </row>
    <row r="16" spans="1:16" ht="21.95" customHeight="1" x14ac:dyDescent="0.15">
      <c r="A16" s="201"/>
      <c r="B16" s="205"/>
      <c r="C16" s="1" t="s">
        <v>28</v>
      </c>
      <c r="D16" s="4">
        <v>910</v>
      </c>
      <c r="E16" s="4">
        <v>131</v>
      </c>
      <c r="F16" s="4">
        <v>0</v>
      </c>
      <c r="G16" s="4">
        <v>296</v>
      </c>
      <c r="H16" s="4">
        <v>450</v>
      </c>
      <c r="I16" s="4">
        <v>716</v>
      </c>
      <c r="J16" s="4">
        <v>805</v>
      </c>
      <c r="K16" s="4">
        <v>628</v>
      </c>
      <c r="L16" s="4">
        <v>261</v>
      </c>
      <c r="M16" s="4">
        <v>665</v>
      </c>
      <c r="N16" s="4">
        <v>0</v>
      </c>
      <c r="O16" s="4">
        <v>296</v>
      </c>
      <c r="P16" s="11">
        <f>SUM(D16:O16)</f>
        <v>5158</v>
      </c>
    </row>
    <row r="17" spans="1:16" ht="21.95" customHeight="1" x14ac:dyDescent="0.15">
      <c r="A17" s="201"/>
      <c r="B17" s="205"/>
      <c r="C17" s="1" t="s">
        <v>29</v>
      </c>
      <c r="D17" s="4">
        <v>135</v>
      </c>
      <c r="E17" s="4">
        <v>85</v>
      </c>
      <c r="F17" s="4">
        <v>85</v>
      </c>
      <c r="G17" s="4">
        <v>47</v>
      </c>
      <c r="H17" s="4">
        <v>81</v>
      </c>
      <c r="I17" s="4">
        <v>33</v>
      </c>
      <c r="J17" s="4">
        <v>45</v>
      </c>
      <c r="K17" s="4">
        <v>77</v>
      </c>
      <c r="L17" s="4">
        <v>48</v>
      </c>
      <c r="M17" s="4">
        <v>96</v>
      </c>
      <c r="N17" s="4">
        <v>83</v>
      </c>
      <c r="O17" s="4">
        <v>163</v>
      </c>
      <c r="P17" s="11">
        <f>SUM(D17:O17)</f>
        <v>978</v>
      </c>
    </row>
    <row r="18" spans="1:16" ht="21.95" customHeight="1" x14ac:dyDescent="0.15">
      <c r="A18" s="201"/>
      <c r="B18" s="205"/>
      <c r="C18" s="1" t="s">
        <v>30</v>
      </c>
      <c r="D18" s="4">
        <v>72</v>
      </c>
      <c r="E18" s="4">
        <v>180</v>
      </c>
      <c r="F18" s="4">
        <v>100</v>
      </c>
      <c r="G18" s="4">
        <v>59</v>
      </c>
      <c r="H18" s="4">
        <v>242</v>
      </c>
      <c r="I18" s="4">
        <v>31</v>
      </c>
      <c r="J18" s="4">
        <v>92</v>
      </c>
      <c r="K18" s="4">
        <v>133</v>
      </c>
      <c r="L18" s="4">
        <v>45</v>
      </c>
      <c r="M18" s="4">
        <v>97</v>
      </c>
      <c r="N18" s="4">
        <v>144</v>
      </c>
      <c r="O18" s="4">
        <v>137</v>
      </c>
      <c r="P18" s="11">
        <f>SUM(D18:O18)</f>
        <v>1332</v>
      </c>
    </row>
    <row r="19" spans="1:16" ht="21.95" customHeight="1" x14ac:dyDescent="0.15">
      <c r="A19" s="201"/>
      <c r="B19" s="205"/>
      <c r="C19" s="1" t="s">
        <v>31</v>
      </c>
      <c r="D19" s="4">
        <v>77</v>
      </c>
      <c r="E19" s="4">
        <v>114</v>
      </c>
      <c r="F19" s="4">
        <v>475</v>
      </c>
      <c r="G19" s="4">
        <v>135</v>
      </c>
      <c r="H19" s="4">
        <v>260</v>
      </c>
      <c r="I19" s="4">
        <v>161</v>
      </c>
      <c r="J19" s="4">
        <v>202</v>
      </c>
      <c r="K19" s="4">
        <v>80</v>
      </c>
      <c r="L19" s="4">
        <v>57</v>
      </c>
      <c r="M19" s="4">
        <v>109</v>
      </c>
      <c r="N19" s="4">
        <v>118</v>
      </c>
      <c r="O19" s="4">
        <v>156</v>
      </c>
      <c r="P19" s="11">
        <f>SUM(D19:O19)</f>
        <v>1944</v>
      </c>
    </row>
    <row r="20" spans="1:16" ht="21.95" customHeight="1" x14ac:dyDescent="0.15">
      <c r="A20" s="201"/>
      <c r="B20" s="205"/>
      <c r="C20" s="1" t="s">
        <v>32</v>
      </c>
      <c r="D20" s="4">
        <v>372</v>
      </c>
      <c r="E20" s="4">
        <v>152</v>
      </c>
      <c r="F20" s="4">
        <v>204</v>
      </c>
      <c r="G20" s="4">
        <v>237</v>
      </c>
      <c r="H20" s="4">
        <v>260</v>
      </c>
      <c r="I20" s="4">
        <v>367</v>
      </c>
      <c r="J20" s="4">
        <v>270</v>
      </c>
      <c r="K20" s="4">
        <v>437</v>
      </c>
      <c r="L20" s="4">
        <v>247</v>
      </c>
      <c r="M20" s="4">
        <v>270</v>
      </c>
      <c r="N20" s="4">
        <v>158</v>
      </c>
      <c r="O20" s="4">
        <v>164</v>
      </c>
      <c r="P20" s="11">
        <f t="shared" si="0"/>
        <v>3138</v>
      </c>
    </row>
    <row r="21" spans="1:16" ht="21.95" customHeight="1" x14ac:dyDescent="0.15">
      <c r="A21" s="201"/>
      <c r="B21" s="205"/>
      <c r="C21" s="1" t="s">
        <v>33</v>
      </c>
      <c r="D21" s="4">
        <v>60</v>
      </c>
      <c r="E21" s="4">
        <v>113</v>
      </c>
      <c r="F21" s="4">
        <v>73</v>
      </c>
      <c r="G21" s="4">
        <v>177</v>
      </c>
      <c r="H21" s="4">
        <v>214</v>
      </c>
      <c r="I21" s="4">
        <v>129</v>
      </c>
      <c r="J21" s="4">
        <v>109</v>
      </c>
      <c r="K21" s="4">
        <v>105</v>
      </c>
      <c r="L21" s="4">
        <v>115</v>
      </c>
      <c r="M21" s="4">
        <v>98</v>
      </c>
      <c r="N21" s="4">
        <v>108</v>
      </c>
      <c r="O21" s="4">
        <v>87</v>
      </c>
      <c r="P21" s="11">
        <f t="shared" ref="P21:P26" si="3">SUM(D21:O21)</f>
        <v>1388</v>
      </c>
    </row>
    <row r="22" spans="1:16" ht="21.95" customHeight="1" x14ac:dyDescent="0.15">
      <c r="A22" s="201"/>
      <c r="B22" s="205"/>
      <c r="C22" s="1" t="s">
        <v>50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14</v>
      </c>
      <c r="K22" s="4">
        <v>18</v>
      </c>
      <c r="L22" s="4">
        <v>41</v>
      </c>
      <c r="M22" s="4">
        <v>7</v>
      </c>
      <c r="N22" s="4">
        <v>44</v>
      </c>
      <c r="O22" s="4">
        <v>51</v>
      </c>
      <c r="P22" s="11">
        <f t="shared" si="3"/>
        <v>175</v>
      </c>
    </row>
    <row r="23" spans="1:16" ht="21.95" customHeight="1" x14ac:dyDescent="0.15">
      <c r="A23" s="201"/>
      <c r="B23" s="205"/>
      <c r="C23" s="1" t="s">
        <v>51</v>
      </c>
      <c r="D23" s="4">
        <v>900</v>
      </c>
      <c r="E23" s="4">
        <v>603</v>
      </c>
      <c r="F23" s="4">
        <v>684</v>
      </c>
      <c r="G23" s="4">
        <v>264</v>
      </c>
      <c r="H23" s="4">
        <v>202</v>
      </c>
      <c r="I23" s="4">
        <v>665</v>
      </c>
      <c r="J23" s="4">
        <v>905</v>
      </c>
      <c r="K23" s="4">
        <v>728</v>
      </c>
      <c r="L23" s="4">
        <v>362</v>
      </c>
      <c r="M23" s="4">
        <v>543</v>
      </c>
      <c r="N23" s="4">
        <v>831</v>
      </c>
      <c r="O23" s="4">
        <v>665</v>
      </c>
      <c r="P23" s="11">
        <f t="shared" si="3"/>
        <v>7352</v>
      </c>
    </row>
    <row r="24" spans="1:16" ht="21.95" customHeight="1" x14ac:dyDescent="0.15">
      <c r="A24" s="201"/>
      <c r="B24" s="205"/>
      <c r="C24" s="1" t="s">
        <v>52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80</v>
      </c>
      <c r="L24" s="4">
        <v>0</v>
      </c>
      <c r="M24" s="4">
        <v>30</v>
      </c>
      <c r="N24" s="4">
        <v>0</v>
      </c>
      <c r="O24" s="4">
        <v>0</v>
      </c>
      <c r="P24" s="11">
        <f t="shared" si="3"/>
        <v>110</v>
      </c>
    </row>
    <row r="25" spans="1:16" ht="21.95" customHeight="1" x14ac:dyDescent="0.15">
      <c r="A25" s="201"/>
      <c r="B25" s="205"/>
      <c r="C25" s="1" t="s">
        <v>53</v>
      </c>
      <c r="D25" s="4">
        <v>0</v>
      </c>
      <c r="E25" s="4">
        <v>1</v>
      </c>
      <c r="F25" s="4">
        <v>1</v>
      </c>
      <c r="G25" s="4">
        <v>1</v>
      </c>
      <c r="H25" s="4">
        <v>5</v>
      </c>
      <c r="I25" s="4">
        <v>2</v>
      </c>
      <c r="J25" s="4">
        <v>1</v>
      </c>
      <c r="K25" s="4">
        <v>1</v>
      </c>
      <c r="L25" s="4">
        <v>0</v>
      </c>
      <c r="M25" s="4">
        <v>2</v>
      </c>
      <c r="N25" s="4">
        <v>1</v>
      </c>
      <c r="O25" s="4">
        <v>0</v>
      </c>
      <c r="P25" s="11">
        <f t="shared" si="3"/>
        <v>15</v>
      </c>
    </row>
    <row r="26" spans="1:16" ht="21.95" customHeight="1" x14ac:dyDescent="0.15">
      <c r="A26" s="201"/>
      <c r="B26" s="205"/>
      <c r="C26" s="1" t="s">
        <v>98</v>
      </c>
      <c r="D26" s="4">
        <v>0</v>
      </c>
      <c r="E26" s="4">
        <v>0</v>
      </c>
      <c r="F26" s="4">
        <v>0</v>
      </c>
      <c r="G26" s="4">
        <v>0</v>
      </c>
      <c r="H26" s="4">
        <v>112</v>
      </c>
      <c r="I26" s="4">
        <v>81</v>
      </c>
      <c r="J26" s="4">
        <v>62</v>
      </c>
      <c r="K26" s="4">
        <v>140</v>
      </c>
      <c r="L26" s="4">
        <v>401</v>
      </c>
      <c r="M26" s="4">
        <v>452</v>
      </c>
      <c r="N26" s="4">
        <v>383</v>
      </c>
      <c r="O26" s="4">
        <v>513</v>
      </c>
      <c r="P26" s="11">
        <f t="shared" si="3"/>
        <v>2144</v>
      </c>
    </row>
    <row r="27" spans="1:16" ht="21.95" customHeight="1" x14ac:dyDescent="0.15">
      <c r="A27" s="201"/>
      <c r="B27" s="205"/>
      <c r="C27" s="1" t="s">
        <v>34</v>
      </c>
      <c r="D27" s="4">
        <v>21</v>
      </c>
      <c r="E27" s="4">
        <v>0</v>
      </c>
      <c r="F27" s="4">
        <v>0</v>
      </c>
      <c r="G27" s="4">
        <v>350</v>
      </c>
      <c r="H27" s="4">
        <v>70</v>
      </c>
      <c r="I27" s="4">
        <v>327</v>
      </c>
      <c r="J27" s="4">
        <v>173</v>
      </c>
      <c r="K27" s="4">
        <v>613</v>
      </c>
      <c r="L27" s="4">
        <v>724</v>
      </c>
      <c r="M27" s="4">
        <v>431</v>
      </c>
      <c r="N27" s="4">
        <v>774</v>
      </c>
      <c r="O27" s="4">
        <v>875</v>
      </c>
      <c r="P27" s="11">
        <f t="shared" si="0"/>
        <v>4358</v>
      </c>
    </row>
    <row r="28" spans="1:16" ht="21.95" customHeight="1" x14ac:dyDescent="0.15">
      <c r="A28" s="201"/>
      <c r="B28" s="206" t="s">
        <v>38</v>
      </c>
      <c r="C28" s="1" t="s">
        <v>36</v>
      </c>
      <c r="D28" s="4">
        <v>66</v>
      </c>
      <c r="E28" s="4">
        <v>41</v>
      </c>
      <c r="F28" s="4">
        <v>60</v>
      </c>
      <c r="G28" s="4">
        <v>94</v>
      </c>
      <c r="H28" s="4">
        <v>77</v>
      </c>
      <c r="I28" s="4">
        <v>78</v>
      </c>
      <c r="J28" s="4">
        <v>83</v>
      </c>
      <c r="K28" s="4">
        <v>31</v>
      </c>
      <c r="L28" s="4">
        <v>128</v>
      </c>
      <c r="M28" s="4">
        <v>38</v>
      </c>
      <c r="N28" s="4">
        <v>45</v>
      </c>
      <c r="O28" s="4">
        <v>25</v>
      </c>
      <c r="P28" s="11">
        <f>SUM(D28:O28)</f>
        <v>766</v>
      </c>
    </row>
    <row r="29" spans="1:16" ht="21.95" customHeight="1" x14ac:dyDescent="0.15">
      <c r="A29" s="201"/>
      <c r="B29" s="205"/>
      <c r="C29" s="1" t="s">
        <v>46</v>
      </c>
      <c r="D29" s="4">
        <v>0</v>
      </c>
      <c r="E29" s="4">
        <v>0</v>
      </c>
      <c r="F29" s="4">
        <v>45</v>
      </c>
      <c r="G29" s="4">
        <v>86</v>
      </c>
      <c r="H29" s="4">
        <v>76</v>
      </c>
      <c r="I29" s="4">
        <v>25</v>
      </c>
      <c r="J29" s="4">
        <v>32</v>
      </c>
      <c r="K29" s="4">
        <v>46</v>
      </c>
      <c r="L29" s="4">
        <v>0</v>
      </c>
      <c r="M29" s="4">
        <v>0</v>
      </c>
      <c r="N29" s="4">
        <v>10</v>
      </c>
      <c r="O29" s="4">
        <v>16</v>
      </c>
      <c r="P29" s="11">
        <f>SUM(D29:O29)</f>
        <v>336</v>
      </c>
    </row>
    <row r="30" spans="1:16" ht="21.95" customHeight="1" x14ac:dyDescent="0.15">
      <c r="A30" s="201"/>
      <c r="B30" s="205"/>
      <c r="C30" s="1" t="s">
        <v>37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11">
        <f>SUM(D30:O30)</f>
        <v>0</v>
      </c>
    </row>
    <row r="31" spans="1:16" ht="21.95" customHeight="1" x14ac:dyDescent="0.15">
      <c r="A31" s="201"/>
      <c r="B31" s="205"/>
      <c r="C31" s="1" t="s">
        <v>48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11">
        <f>SUM(D31:O31)</f>
        <v>0</v>
      </c>
    </row>
    <row r="32" spans="1:16" ht="21.95" customHeight="1" x14ac:dyDescent="0.15">
      <c r="A32" s="201"/>
      <c r="B32" s="205"/>
      <c r="C32" s="1" t="s">
        <v>47</v>
      </c>
      <c r="D32" s="4">
        <v>73</v>
      </c>
      <c r="E32" s="4">
        <v>130</v>
      </c>
      <c r="F32" s="4">
        <v>86</v>
      </c>
      <c r="G32" s="4">
        <v>261</v>
      </c>
      <c r="H32" s="4">
        <v>406</v>
      </c>
      <c r="I32" s="4">
        <v>190</v>
      </c>
      <c r="J32" s="4">
        <v>266</v>
      </c>
      <c r="K32" s="4">
        <v>171</v>
      </c>
      <c r="L32" s="4">
        <v>107</v>
      </c>
      <c r="M32" s="4">
        <v>193</v>
      </c>
      <c r="N32" s="4">
        <v>148</v>
      </c>
      <c r="O32" s="4">
        <v>124</v>
      </c>
      <c r="P32" s="11">
        <f>SUM(D32:O32)</f>
        <v>2155</v>
      </c>
    </row>
    <row r="33" spans="1:16" ht="24.75" customHeight="1" x14ac:dyDescent="0.15">
      <c r="A33" s="201"/>
      <c r="B33" s="199" t="s">
        <v>40</v>
      </c>
      <c r="C33" s="199"/>
      <c r="D33" s="6">
        <f>SUM(D11:D32)</f>
        <v>5697</v>
      </c>
      <c r="E33" s="6">
        <f t="shared" ref="E33:O33" si="4">SUM(E11:E32)</f>
        <v>9875</v>
      </c>
      <c r="F33" s="6">
        <f t="shared" si="4"/>
        <v>8367</v>
      </c>
      <c r="G33" s="6">
        <f t="shared" si="4"/>
        <v>8513</v>
      </c>
      <c r="H33" s="6">
        <f>SUM(H11:H32)</f>
        <v>11274</v>
      </c>
      <c r="I33" s="6">
        <f t="shared" si="4"/>
        <v>9070</v>
      </c>
      <c r="J33" s="6">
        <f t="shared" si="4"/>
        <v>6870</v>
      </c>
      <c r="K33" s="6">
        <f t="shared" si="4"/>
        <v>10369</v>
      </c>
      <c r="L33" s="6">
        <f t="shared" si="4"/>
        <v>11896</v>
      </c>
      <c r="M33" s="6">
        <f t="shared" si="4"/>
        <v>7289</v>
      </c>
      <c r="N33" s="6">
        <f t="shared" si="4"/>
        <v>8638</v>
      </c>
      <c r="O33" s="6">
        <f t="shared" si="4"/>
        <v>9570</v>
      </c>
      <c r="P33" s="13">
        <f t="shared" si="0"/>
        <v>107428</v>
      </c>
    </row>
    <row r="34" spans="1:16" s="2" customFormat="1" ht="26.45" customHeight="1" x14ac:dyDescent="0.15">
      <c r="A34" s="202" t="s">
        <v>41</v>
      </c>
      <c r="B34" s="203"/>
      <c r="C34" s="203"/>
      <c r="D34" s="7">
        <f t="shared" ref="D34:O34" si="5">SUM(D10,D33)</f>
        <v>77862</v>
      </c>
      <c r="E34" s="7">
        <f t="shared" si="5"/>
        <v>61468</v>
      </c>
      <c r="F34" s="7">
        <f t="shared" si="5"/>
        <v>83328</v>
      </c>
      <c r="G34" s="7">
        <f t="shared" si="5"/>
        <v>78978</v>
      </c>
      <c r="H34" s="7">
        <f t="shared" si="5"/>
        <v>73771</v>
      </c>
      <c r="I34" s="7">
        <f t="shared" si="5"/>
        <v>82474</v>
      </c>
      <c r="J34" s="7">
        <f t="shared" si="5"/>
        <v>92786</v>
      </c>
      <c r="K34" s="7">
        <f t="shared" si="5"/>
        <v>62097</v>
      </c>
      <c r="L34" s="7">
        <f t="shared" si="5"/>
        <v>70053</v>
      </c>
      <c r="M34" s="7">
        <f t="shared" si="5"/>
        <v>77518</v>
      </c>
      <c r="N34" s="7">
        <f t="shared" si="5"/>
        <v>88758</v>
      </c>
      <c r="O34" s="7">
        <f t="shared" si="5"/>
        <v>95196</v>
      </c>
      <c r="P34" s="12">
        <f t="shared" si="0"/>
        <v>944289</v>
      </c>
    </row>
    <row r="35" spans="1:16" ht="21.95" customHeight="1" x14ac:dyDescent="0.15">
      <c r="A35" s="204" t="s">
        <v>43</v>
      </c>
      <c r="B35" s="205"/>
      <c r="C35" s="205"/>
      <c r="D35" s="4">
        <v>27486</v>
      </c>
      <c r="E35" s="4">
        <v>20314</v>
      </c>
      <c r="F35" s="4">
        <v>25131</v>
      </c>
      <c r="G35" s="4">
        <v>32124</v>
      </c>
      <c r="H35" s="4">
        <v>22212</v>
      </c>
      <c r="I35" s="4">
        <v>29358</v>
      </c>
      <c r="J35" s="4">
        <v>30257</v>
      </c>
      <c r="K35" s="4">
        <v>21940</v>
      </c>
      <c r="L35" s="4">
        <v>27255</v>
      </c>
      <c r="M35" s="4">
        <v>31089</v>
      </c>
      <c r="N35" s="4">
        <v>25849</v>
      </c>
      <c r="O35" s="4">
        <v>35050</v>
      </c>
      <c r="P35" s="11">
        <f t="shared" si="0"/>
        <v>328065</v>
      </c>
    </row>
    <row r="36" spans="1:16" s="2" customFormat="1" ht="27.75" customHeight="1" thickBot="1" x14ac:dyDescent="0.2">
      <c r="A36" s="197" t="s">
        <v>42</v>
      </c>
      <c r="B36" s="198"/>
      <c r="C36" s="198"/>
      <c r="D36" s="10">
        <f>D34+D35</f>
        <v>105348</v>
      </c>
      <c r="E36" s="10">
        <f t="shared" ref="E36:O36" si="6">E34+E35</f>
        <v>81782</v>
      </c>
      <c r="F36" s="10">
        <f t="shared" si="6"/>
        <v>108459</v>
      </c>
      <c r="G36" s="10">
        <f t="shared" si="6"/>
        <v>111102</v>
      </c>
      <c r="H36" s="10">
        <f t="shared" si="6"/>
        <v>95983</v>
      </c>
      <c r="I36" s="10">
        <f t="shared" si="6"/>
        <v>111832</v>
      </c>
      <c r="J36" s="10">
        <f t="shared" si="6"/>
        <v>123043</v>
      </c>
      <c r="K36" s="10">
        <f t="shared" si="6"/>
        <v>84037</v>
      </c>
      <c r="L36" s="10">
        <f t="shared" si="6"/>
        <v>97308</v>
      </c>
      <c r="M36" s="10">
        <f t="shared" si="6"/>
        <v>108607</v>
      </c>
      <c r="N36" s="10">
        <f t="shared" si="6"/>
        <v>114607</v>
      </c>
      <c r="O36" s="10">
        <f t="shared" si="6"/>
        <v>130246</v>
      </c>
      <c r="P36" s="14">
        <f t="shared" si="0"/>
        <v>1272354</v>
      </c>
    </row>
    <row r="37" spans="1:16" ht="20.100000000000001" customHeight="1" x14ac:dyDescent="0.15"/>
  </sheetData>
  <mergeCells count="13">
    <mergeCell ref="A36:C36"/>
    <mergeCell ref="A11:A33"/>
    <mergeCell ref="B11:B27"/>
    <mergeCell ref="B28:B32"/>
    <mergeCell ref="B33:C33"/>
    <mergeCell ref="A34:C34"/>
    <mergeCell ref="A35:C35"/>
    <mergeCell ref="A1:P1"/>
    <mergeCell ref="A2:C2"/>
    <mergeCell ref="A3:A10"/>
    <mergeCell ref="B3:B8"/>
    <mergeCell ref="B9:C9"/>
    <mergeCell ref="B10:C10"/>
  </mergeCells>
  <phoneticPr fontId="14" type="noConversion"/>
  <pageMargins left="0.74803149606299213" right="0.78740157480314965" top="0.23622047244094491" bottom="0.19685039370078741" header="0.23622047244094491" footer="0.27559055118110237"/>
  <pageSetup paperSize="9" scale="6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P47"/>
  <sheetViews>
    <sheetView workbookViewId="0">
      <pane xSplit="3" ySplit="2" topLeftCell="D33" activePane="bottomRight" state="frozen"/>
      <selection pane="topRight" activeCell="D1" sqref="D1"/>
      <selection pane="bottomLeft" activeCell="A3" sqref="A3"/>
      <selection pane="bottomRight" activeCell="O46" sqref="O46"/>
    </sheetView>
  </sheetViews>
  <sheetFormatPr defaultRowHeight="13.5" x14ac:dyDescent="0.15"/>
  <cols>
    <col min="1" max="1" width="5.21875" customWidth="1"/>
    <col min="2" max="2" width="5.44140625" customWidth="1"/>
    <col min="3" max="3" width="11.44140625" customWidth="1"/>
    <col min="4" max="15" width="13.5546875" customWidth="1"/>
    <col min="16" max="16" width="14.6640625" style="2" customWidth="1"/>
  </cols>
  <sheetData>
    <row r="1" spans="1:16" ht="51" customHeight="1" thickBot="1" x14ac:dyDescent="0.2">
      <c r="A1" s="207" t="s">
        <v>99</v>
      </c>
      <c r="B1" s="208"/>
      <c r="C1" s="208"/>
      <c r="D1" s="208"/>
      <c r="E1" s="208"/>
      <c r="F1" s="208"/>
      <c r="G1" s="208"/>
      <c r="H1" s="208"/>
      <c r="I1" s="208"/>
      <c r="J1" s="208"/>
      <c r="K1" s="208"/>
      <c r="L1" s="208"/>
      <c r="M1" s="208"/>
      <c r="N1" s="208"/>
      <c r="O1" s="208"/>
      <c r="P1" s="208"/>
    </row>
    <row r="2" spans="1:16" ht="25.5" customHeight="1" x14ac:dyDescent="0.15">
      <c r="A2" s="209" t="s">
        <v>13</v>
      </c>
      <c r="B2" s="210"/>
      <c r="C2" s="210"/>
      <c r="D2" s="8" t="s">
        <v>0</v>
      </c>
      <c r="E2" s="8" t="s">
        <v>1</v>
      </c>
      <c r="F2" s="8" t="s">
        <v>2</v>
      </c>
      <c r="G2" s="8" t="s">
        <v>3</v>
      </c>
      <c r="H2" s="8" t="s">
        <v>4</v>
      </c>
      <c r="I2" s="8" t="s">
        <v>5</v>
      </c>
      <c r="J2" s="8" t="s">
        <v>6</v>
      </c>
      <c r="K2" s="8" t="s">
        <v>7</v>
      </c>
      <c r="L2" s="8" t="s">
        <v>8</v>
      </c>
      <c r="M2" s="8" t="s">
        <v>9</v>
      </c>
      <c r="N2" s="8" t="s">
        <v>10</v>
      </c>
      <c r="O2" s="8" t="s">
        <v>11</v>
      </c>
      <c r="P2" s="9" t="s">
        <v>44</v>
      </c>
    </row>
    <row r="3" spans="1:16" ht="19.899999999999999" customHeight="1" x14ac:dyDescent="0.15">
      <c r="A3" s="200" t="s">
        <v>14</v>
      </c>
      <c r="B3" s="206" t="s">
        <v>122</v>
      </c>
      <c r="C3" s="1" t="s">
        <v>16</v>
      </c>
      <c r="D3" s="4">
        <v>56648</v>
      </c>
      <c r="E3" s="4">
        <v>74658</v>
      </c>
      <c r="F3" s="4">
        <v>70746</v>
      </c>
      <c r="G3" s="4">
        <v>61859</v>
      </c>
      <c r="H3" s="4">
        <f>64155</f>
        <v>64155</v>
      </c>
      <c r="I3" s="4">
        <v>66269</v>
      </c>
      <c r="J3" s="4">
        <v>61189</v>
      </c>
      <c r="K3" s="4">
        <v>29346</v>
      </c>
      <c r="L3" s="4">
        <v>51689</v>
      </c>
      <c r="M3" s="4">
        <v>52730</v>
      </c>
      <c r="N3" s="4">
        <v>65092</v>
      </c>
      <c r="O3" s="4">
        <v>58608</v>
      </c>
      <c r="P3" s="11">
        <f t="shared" ref="P3:P9" si="0">SUM(D3:O3)</f>
        <v>712989</v>
      </c>
    </row>
    <row r="4" spans="1:16" ht="19.899999999999999" customHeight="1" x14ac:dyDescent="0.15">
      <c r="A4" s="200"/>
      <c r="B4" s="205"/>
      <c r="C4" s="1" t="s">
        <v>17</v>
      </c>
      <c r="D4" s="4">
        <v>7383</v>
      </c>
      <c r="E4" s="4">
        <v>9710</v>
      </c>
      <c r="F4" s="4">
        <f>2295+4914</f>
        <v>7209</v>
      </c>
      <c r="G4" s="4">
        <f>4660+5818</f>
        <v>10478</v>
      </c>
      <c r="H4" s="4">
        <f>3764+4696</f>
        <v>8460</v>
      </c>
      <c r="I4" s="4">
        <f>3064+5385</f>
        <v>8449</v>
      </c>
      <c r="J4" s="4">
        <f>3439+6278</f>
        <v>9717</v>
      </c>
      <c r="K4" s="4">
        <f>1764+1534</f>
        <v>3298</v>
      </c>
      <c r="L4" s="4">
        <f>2698+5242</f>
        <v>7940</v>
      </c>
      <c r="M4" s="4">
        <f>2639+3094</f>
        <v>5733</v>
      </c>
      <c r="N4" s="4">
        <f>4969+5860</f>
        <v>10829</v>
      </c>
      <c r="O4" s="4">
        <f>3800+5702</f>
        <v>9502</v>
      </c>
      <c r="P4" s="11">
        <f t="shared" si="0"/>
        <v>98708</v>
      </c>
    </row>
    <row r="5" spans="1:16" ht="19.899999999999999" customHeight="1" x14ac:dyDescent="0.15">
      <c r="A5" s="200"/>
      <c r="B5" s="205"/>
      <c r="C5" s="1" t="s">
        <v>117</v>
      </c>
      <c r="D5" s="4">
        <v>2721</v>
      </c>
      <c r="E5" s="4">
        <v>2135</v>
      </c>
      <c r="F5" s="4">
        <v>1661</v>
      </c>
      <c r="G5" s="4">
        <f>2804</f>
        <v>2804</v>
      </c>
      <c r="H5" s="4">
        <v>2249</v>
      </c>
      <c r="I5" s="4">
        <f>2453</f>
        <v>2453</v>
      </c>
      <c r="J5" s="4">
        <v>2436</v>
      </c>
      <c r="K5" s="4">
        <v>1715</v>
      </c>
      <c r="L5" s="4">
        <v>2175</v>
      </c>
      <c r="M5" s="4">
        <f>2287</f>
        <v>2287</v>
      </c>
      <c r="N5" s="4">
        <v>3094</v>
      </c>
      <c r="O5" s="4">
        <v>4109</v>
      </c>
      <c r="P5" s="11">
        <f t="shared" si="0"/>
        <v>29839</v>
      </c>
    </row>
    <row r="6" spans="1:16" ht="19.899999999999999" customHeight="1" x14ac:dyDescent="0.15">
      <c r="A6" s="200"/>
      <c r="B6" s="205"/>
      <c r="C6" s="1" t="s">
        <v>118</v>
      </c>
      <c r="D6" s="4">
        <v>0</v>
      </c>
      <c r="E6" s="4">
        <v>0</v>
      </c>
      <c r="F6" s="4">
        <v>0</v>
      </c>
      <c r="G6" s="4"/>
      <c r="H6" s="4"/>
      <c r="I6" s="4"/>
      <c r="J6" s="4"/>
      <c r="K6" s="4"/>
      <c r="L6" s="4"/>
      <c r="M6" s="4"/>
      <c r="N6" s="4"/>
      <c r="O6" s="4"/>
      <c r="P6" s="11">
        <f t="shared" si="0"/>
        <v>0</v>
      </c>
    </row>
    <row r="7" spans="1:16" ht="19.899999999999999" customHeight="1" x14ac:dyDescent="0.15">
      <c r="A7" s="200"/>
      <c r="B7" s="205"/>
      <c r="C7" s="1" t="s">
        <v>119</v>
      </c>
      <c r="D7" s="4">
        <v>0</v>
      </c>
      <c r="E7" s="4">
        <v>0</v>
      </c>
      <c r="F7" s="4">
        <v>0</v>
      </c>
      <c r="G7" s="4"/>
      <c r="H7" s="4"/>
      <c r="I7" s="4"/>
      <c r="J7" s="4"/>
      <c r="K7" s="4"/>
      <c r="L7" s="4"/>
      <c r="M7" s="4"/>
      <c r="N7" s="4"/>
      <c r="O7" s="4"/>
      <c r="P7" s="11">
        <f t="shared" si="0"/>
        <v>0</v>
      </c>
    </row>
    <row r="8" spans="1:16" ht="19.899999999999999" customHeight="1" x14ac:dyDescent="0.15">
      <c r="A8" s="200"/>
      <c r="B8" s="205"/>
      <c r="C8" s="1" t="s">
        <v>19</v>
      </c>
      <c r="D8" s="4">
        <v>0</v>
      </c>
      <c r="E8" s="4">
        <v>0</v>
      </c>
      <c r="F8" s="4">
        <v>0</v>
      </c>
      <c r="G8" s="4">
        <v>86</v>
      </c>
      <c r="H8" s="4"/>
      <c r="I8" s="4">
        <v>34</v>
      </c>
      <c r="J8" s="4">
        <v>1</v>
      </c>
      <c r="K8" s="4"/>
      <c r="L8" s="4"/>
      <c r="M8" s="4">
        <f>6</f>
        <v>6</v>
      </c>
      <c r="N8" s="4">
        <v>20</v>
      </c>
      <c r="O8" s="4">
        <v>437</v>
      </c>
      <c r="P8" s="11">
        <f t="shared" si="0"/>
        <v>584</v>
      </c>
    </row>
    <row r="9" spans="1:16" ht="19.899999999999999" customHeight="1" x14ac:dyDescent="0.15">
      <c r="A9" s="200"/>
      <c r="B9" s="205"/>
      <c r="C9" s="3" t="s">
        <v>22</v>
      </c>
      <c r="D9" s="5">
        <f t="shared" ref="D9:O9" si="1">SUM(D3:D8)</f>
        <v>66752</v>
      </c>
      <c r="E9" s="5">
        <f t="shared" si="1"/>
        <v>86503</v>
      </c>
      <c r="F9" s="5">
        <f t="shared" si="1"/>
        <v>79616</v>
      </c>
      <c r="G9" s="5">
        <f t="shared" si="1"/>
        <v>75227</v>
      </c>
      <c r="H9" s="5">
        <f t="shared" si="1"/>
        <v>74864</v>
      </c>
      <c r="I9" s="5">
        <f t="shared" si="1"/>
        <v>77205</v>
      </c>
      <c r="J9" s="5">
        <f t="shared" si="1"/>
        <v>73343</v>
      </c>
      <c r="K9" s="5">
        <f t="shared" si="1"/>
        <v>34359</v>
      </c>
      <c r="L9" s="5">
        <f t="shared" si="1"/>
        <v>61804</v>
      </c>
      <c r="M9" s="5">
        <f t="shared" si="1"/>
        <v>60756</v>
      </c>
      <c r="N9" s="5">
        <f t="shared" si="1"/>
        <v>79035</v>
      </c>
      <c r="O9" s="5">
        <f t="shared" si="1"/>
        <v>72656</v>
      </c>
      <c r="P9" s="11">
        <f t="shared" si="0"/>
        <v>842120</v>
      </c>
    </row>
    <row r="10" spans="1:16" ht="19.899999999999999" customHeight="1" x14ac:dyDescent="0.15">
      <c r="A10" s="200"/>
      <c r="B10" s="211" t="s">
        <v>123</v>
      </c>
      <c r="C10" s="15" t="s">
        <v>120</v>
      </c>
      <c r="D10" s="18">
        <v>105</v>
      </c>
      <c r="E10" s="18">
        <v>7</v>
      </c>
      <c r="F10" s="18">
        <v>146</v>
      </c>
      <c r="G10" s="18">
        <f>121</f>
        <v>121</v>
      </c>
      <c r="H10" s="18">
        <v>217</v>
      </c>
      <c r="I10" s="18">
        <v>104</v>
      </c>
      <c r="J10" s="18">
        <v>79</v>
      </c>
      <c r="K10" s="18">
        <v>141</v>
      </c>
      <c r="L10" s="18">
        <v>78</v>
      </c>
      <c r="M10" s="18">
        <v>51</v>
      </c>
      <c r="N10" s="18">
        <v>80</v>
      </c>
      <c r="O10" s="18">
        <v>124</v>
      </c>
      <c r="P10" s="11">
        <f>SUM(D10:O10)</f>
        <v>1253</v>
      </c>
    </row>
    <row r="11" spans="1:16" ht="19.899999999999999" customHeight="1" x14ac:dyDescent="0.15">
      <c r="A11" s="200"/>
      <c r="B11" s="212"/>
      <c r="C11" s="15" t="s">
        <v>121</v>
      </c>
      <c r="D11" s="18">
        <v>110</v>
      </c>
      <c r="E11" s="18">
        <v>37</v>
      </c>
      <c r="F11" s="18">
        <v>106</v>
      </c>
      <c r="G11" s="18">
        <f>107</f>
        <v>107</v>
      </c>
      <c r="H11" s="18"/>
      <c r="I11" s="18">
        <v>63</v>
      </c>
      <c r="J11" s="18">
        <f>50</f>
        <v>50</v>
      </c>
      <c r="K11" s="18">
        <v>29</v>
      </c>
      <c r="L11" s="18">
        <v>25</v>
      </c>
      <c r="M11" s="18">
        <v>35</v>
      </c>
      <c r="N11" s="18">
        <v>1</v>
      </c>
      <c r="O11" s="18">
        <v>87</v>
      </c>
      <c r="P11" s="11">
        <f>SUM(D11:O11)</f>
        <v>650</v>
      </c>
    </row>
    <row r="12" spans="1:16" ht="19.899999999999999" customHeight="1" x14ac:dyDescent="0.15">
      <c r="A12" s="200"/>
      <c r="B12" s="212"/>
      <c r="C12" s="15" t="s">
        <v>132</v>
      </c>
      <c r="D12" s="18"/>
      <c r="E12" s="18">
        <v>35</v>
      </c>
      <c r="F12" s="18">
        <v>113</v>
      </c>
      <c r="G12" s="18">
        <v>96</v>
      </c>
      <c r="H12" s="18"/>
      <c r="I12" s="18">
        <v>145</v>
      </c>
      <c r="J12" s="18">
        <v>4</v>
      </c>
      <c r="K12" s="18">
        <f>58</f>
        <v>58</v>
      </c>
      <c r="L12" s="18">
        <v>45</v>
      </c>
      <c r="M12" s="18">
        <v>25</v>
      </c>
      <c r="N12" s="18">
        <v>50</v>
      </c>
      <c r="O12" s="18">
        <v>59</v>
      </c>
      <c r="P12" s="11"/>
    </row>
    <row r="13" spans="1:16" ht="19.899999999999999" customHeight="1" x14ac:dyDescent="0.15">
      <c r="A13" s="200"/>
      <c r="B13" s="212"/>
      <c r="C13" s="15" t="s">
        <v>115</v>
      </c>
      <c r="D13" s="18">
        <v>4</v>
      </c>
      <c r="E13" s="18">
        <v>17</v>
      </c>
      <c r="F13" s="18">
        <f>51</f>
        <v>51</v>
      </c>
      <c r="G13" s="18">
        <v>49</v>
      </c>
      <c r="H13" s="18"/>
      <c r="I13" s="18">
        <f>28</f>
        <v>28</v>
      </c>
      <c r="J13" s="18"/>
      <c r="K13" s="18">
        <f>3</f>
        <v>3</v>
      </c>
      <c r="L13" s="18">
        <f>3+103</f>
        <v>106</v>
      </c>
      <c r="M13" s="18">
        <v>1</v>
      </c>
      <c r="N13" s="18">
        <v>9</v>
      </c>
      <c r="O13" s="18">
        <v>13</v>
      </c>
      <c r="P13" s="11">
        <f>SUM(D13:O13)</f>
        <v>281</v>
      </c>
    </row>
    <row r="14" spans="1:16" ht="19.899999999999999" customHeight="1" x14ac:dyDescent="0.15">
      <c r="A14" s="200"/>
      <c r="B14" s="213"/>
      <c r="C14" s="3" t="s">
        <v>22</v>
      </c>
      <c r="D14" s="5">
        <f t="shared" ref="D14:J14" si="2">SUM(D10:D13)</f>
        <v>219</v>
      </c>
      <c r="E14" s="5">
        <f t="shared" si="2"/>
        <v>96</v>
      </c>
      <c r="F14" s="5">
        <f t="shared" si="2"/>
        <v>416</v>
      </c>
      <c r="G14" s="5">
        <f t="shared" si="2"/>
        <v>373</v>
      </c>
      <c r="H14" s="5">
        <f t="shared" si="2"/>
        <v>217</v>
      </c>
      <c r="I14" s="5">
        <f t="shared" si="2"/>
        <v>340</v>
      </c>
      <c r="J14" s="5">
        <f t="shared" si="2"/>
        <v>133</v>
      </c>
      <c r="K14" s="5">
        <f>SUM(K10:K13)</f>
        <v>231</v>
      </c>
      <c r="L14" s="5">
        <f>SUM(L10:L13)</f>
        <v>254</v>
      </c>
      <c r="M14" s="5">
        <f>SUM(M10:M13)</f>
        <v>112</v>
      </c>
      <c r="N14" s="5">
        <f>SUM(N10:N13)</f>
        <v>140</v>
      </c>
      <c r="O14" s="5">
        <f>SUM(O10:O13)</f>
        <v>283</v>
      </c>
      <c r="P14" s="11">
        <f>SUM(D14:O14)</f>
        <v>2814</v>
      </c>
    </row>
    <row r="15" spans="1:16" ht="19.5" customHeight="1" x14ac:dyDescent="0.15">
      <c r="A15" s="200"/>
      <c r="B15" s="214" t="s">
        <v>126</v>
      </c>
      <c r="C15" s="215"/>
      <c r="D15" s="18">
        <v>71</v>
      </c>
      <c r="E15" s="18">
        <v>235</v>
      </c>
      <c r="F15" s="18">
        <f>246+1</f>
        <v>247</v>
      </c>
      <c r="G15" s="18">
        <f>103+49</f>
        <v>152</v>
      </c>
      <c r="H15" s="18">
        <f>247+228+10</f>
        <v>485</v>
      </c>
      <c r="I15" s="18">
        <f>372+186+9</f>
        <v>567</v>
      </c>
      <c r="J15" s="18">
        <f>43+48+3</f>
        <v>94</v>
      </c>
      <c r="K15" s="18">
        <f>63+86+22</f>
        <v>171</v>
      </c>
      <c r="L15" s="18">
        <f>431+190+26</f>
        <v>647</v>
      </c>
      <c r="M15" s="18">
        <f>377+380+22</f>
        <v>779</v>
      </c>
      <c r="N15" s="18">
        <f>266+130+9</f>
        <v>405</v>
      </c>
      <c r="O15" s="18">
        <f>5+119+334</f>
        <v>458</v>
      </c>
      <c r="P15" s="11">
        <f>SUM(D15:O15)</f>
        <v>4311</v>
      </c>
    </row>
    <row r="16" spans="1:16" ht="19.899999999999999" customHeight="1" x14ac:dyDescent="0.15">
      <c r="A16" s="200"/>
      <c r="B16" s="205" t="s">
        <v>127</v>
      </c>
      <c r="C16" s="205"/>
      <c r="D16" s="4">
        <v>63</v>
      </c>
      <c r="E16" s="4">
        <v>62</v>
      </c>
      <c r="F16" s="4">
        <v>155</v>
      </c>
      <c r="G16" s="4">
        <v>76</v>
      </c>
      <c r="H16" s="4">
        <v>42</v>
      </c>
      <c r="I16" s="4">
        <v>45</v>
      </c>
      <c r="J16" s="4">
        <v>24</v>
      </c>
      <c r="K16" s="4">
        <v>36</v>
      </c>
      <c r="L16" s="4">
        <v>95</v>
      </c>
      <c r="M16" s="4">
        <v>34</v>
      </c>
      <c r="N16" s="4">
        <v>205</v>
      </c>
      <c r="O16" s="4">
        <v>171</v>
      </c>
      <c r="P16" s="11">
        <f>SUM(D16:O16)</f>
        <v>1008</v>
      </c>
    </row>
    <row r="17" spans="1:16" ht="26.45" customHeight="1" x14ac:dyDescent="0.15">
      <c r="A17" s="200"/>
      <c r="B17" s="199" t="s">
        <v>39</v>
      </c>
      <c r="C17" s="199"/>
      <c r="D17" s="6">
        <f t="shared" ref="D17:O17" si="3">D9+D16+D14+D15</f>
        <v>67105</v>
      </c>
      <c r="E17" s="6">
        <f t="shared" si="3"/>
        <v>86896</v>
      </c>
      <c r="F17" s="6">
        <f t="shared" si="3"/>
        <v>80434</v>
      </c>
      <c r="G17" s="6">
        <f t="shared" si="3"/>
        <v>75828</v>
      </c>
      <c r="H17" s="6">
        <f t="shared" si="3"/>
        <v>75608</v>
      </c>
      <c r="I17" s="6">
        <f t="shared" si="3"/>
        <v>78157</v>
      </c>
      <c r="J17" s="6">
        <f t="shared" si="3"/>
        <v>73594</v>
      </c>
      <c r="K17" s="6">
        <f>K9+K14+K15+K16</f>
        <v>34797</v>
      </c>
      <c r="L17" s="6">
        <f t="shared" si="3"/>
        <v>62800</v>
      </c>
      <c r="M17" s="6">
        <f t="shared" si="3"/>
        <v>61681</v>
      </c>
      <c r="N17" s="6">
        <f t="shared" si="3"/>
        <v>79785</v>
      </c>
      <c r="O17" s="6">
        <f t="shared" si="3"/>
        <v>73568</v>
      </c>
      <c r="P17" s="13">
        <f t="shared" ref="P17:P27" si="4">SUM(D17:O17)</f>
        <v>850253</v>
      </c>
    </row>
    <row r="18" spans="1:16" ht="19.5" customHeight="1" x14ac:dyDescent="0.15">
      <c r="A18" s="200" t="s">
        <v>21</v>
      </c>
      <c r="B18" s="211" t="s">
        <v>125</v>
      </c>
      <c r="C18" s="1" t="s">
        <v>100</v>
      </c>
      <c r="D18" s="4">
        <v>2526</v>
      </c>
      <c r="E18" s="4">
        <v>1295</v>
      </c>
      <c r="F18" s="4">
        <v>5343</v>
      </c>
      <c r="G18" s="4">
        <v>2874</v>
      </c>
      <c r="H18" s="4">
        <v>3861</v>
      </c>
      <c r="I18" s="4">
        <v>2474</v>
      </c>
      <c r="J18" s="4">
        <v>1210</v>
      </c>
      <c r="K18" s="4">
        <v>3504</v>
      </c>
      <c r="L18" s="4">
        <v>3349</v>
      </c>
      <c r="M18" s="4">
        <v>2248</v>
      </c>
      <c r="N18" s="4">
        <v>3520</v>
      </c>
      <c r="O18" s="4">
        <v>1778</v>
      </c>
      <c r="P18" s="11">
        <f t="shared" si="4"/>
        <v>33982</v>
      </c>
    </row>
    <row r="19" spans="1:16" ht="20.100000000000001" customHeight="1" x14ac:dyDescent="0.15">
      <c r="A19" s="201"/>
      <c r="B19" s="212"/>
      <c r="C19" s="1" t="s">
        <v>101</v>
      </c>
      <c r="D19" s="4">
        <v>1999</v>
      </c>
      <c r="E19" s="4">
        <v>2058</v>
      </c>
      <c r="F19" s="4">
        <v>2728</v>
      </c>
      <c r="G19" s="4">
        <v>1766</v>
      </c>
      <c r="H19" s="4">
        <v>1399</v>
      </c>
      <c r="I19" s="4">
        <v>819</v>
      </c>
      <c r="J19" s="4">
        <v>484</v>
      </c>
      <c r="K19" s="4">
        <v>1155</v>
      </c>
      <c r="L19" s="4">
        <v>1877</v>
      </c>
      <c r="M19" s="4">
        <v>1890</v>
      </c>
      <c r="N19" s="4">
        <v>2622</v>
      </c>
      <c r="O19" s="4">
        <v>1460</v>
      </c>
      <c r="P19" s="11">
        <f t="shared" si="4"/>
        <v>20257</v>
      </c>
    </row>
    <row r="20" spans="1:16" ht="20.100000000000001" customHeight="1" x14ac:dyDescent="0.15">
      <c r="A20" s="201"/>
      <c r="B20" s="212"/>
      <c r="C20" s="1" t="s">
        <v>102</v>
      </c>
      <c r="D20" s="4">
        <v>873</v>
      </c>
      <c r="E20" s="4">
        <v>992</v>
      </c>
      <c r="F20" s="4">
        <v>1582</v>
      </c>
      <c r="G20" s="4">
        <v>1480</v>
      </c>
      <c r="H20" s="4">
        <v>1495</v>
      </c>
      <c r="I20" s="4">
        <v>749</v>
      </c>
      <c r="J20" s="4">
        <v>832</v>
      </c>
      <c r="K20" s="4">
        <v>1988</v>
      </c>
      <c r="L20" s="4">
        <v>1018</v>
      </c>
      <c r="M20" s="4">
        <v>1735</v>
      </c>
      <c r="N20" s="4">
        <v>1282</v>
      </c>
      <c r="O20" s="4">
        <v>683</v>
      </c>
      <c r="P20" s="11">
        <f t="shared" si="4"/>
        <v>14709</v>
      </c>
    </row>
    <row r="21" spans="1:16" ht="20.100000000000001" customHeight="1" x14ac:dyDescent="0.15">
      <c r="A21" s="201"/>
      <c r="B21" s="212"/>
      <c r="C21" s="1" t="s">
        <v>103</v>
      </c>
      <c r="D21" s="4">
        <v>836</v>
      </c>
      <c r="E21" s="4">
        <v>506</v>
      </c>
      <c r="F21" s="4">
        <v>1341</v>
      </c>
      <c r="G21" s="4">
        <v>1827</v>
      </c>
      <c r="H21" s="4">
        <v>1466</v>
      </c>
      <c r="I21" s="4">
        <v>739</v>
      </c>
      <c r="J21" s="4">
        <v>1007</v>
      </c>
      <c r="K21" s="4">
        <v>3057</v>
      </c>
      <c r="L21" s="4">
        <v>1795</v>
      </c>
      <c r="M21" s="4">
        <v>2067</v>
      </c>
      <c r="N21" s="4">
        <v>2381</v>
      </c>
      <c r="O21" s="4">
        <v>1605</v>
      </c>
      <c r="P21" s="11">
        <f t="shared" si="4"/>
        <v>18627</v>
      </c>
    </row>
    <row r="22" spans="1:16" ht="20.100000000000001" customHeight="1" x14ac:dyDescent="0.15">
      <c r="A22" s="201"/>
      <c r="B22" s="212"/>
      <c r="C22" s="1" t="s">
        <v>104</v>
      </c>
      <c r="D22" s="4">
        <v>829</v>
      </c>
      <c r="E22" s="4">
        <v>50</v>
      </c>
      <c r="F22" s="4">
        <v>347</v>
      </c>
      <c r="G22" s="4">
        <v>82</v>
      </c>
      <c r="H22" s="4">
        <v>179</v>
      </c>
      <c r="I22" s="4">
        <v>260</v>
      </c>
      <c r="J22" s="4">
        <v>392</v>
      </c>
      <c r="K22" s="4">
        <v>202</v>
      </c>
      <c r="L22" s="4">
        <v>733</v>
      </c>
      <c r="M22" s="4">
        <v>430</v>
      </c>
      <c r="N22" s="4">
        <v>904</v>
      </c>
      <c r="O22" s="4">
        <v>271</v>
      </c>
      <c r="P22" s="11">
        <f t="shared" si="4"/>
        <v>4679</v>
      </c>
    </row>
    <row r="23" spans="1:16" ht="20.100000000000001" customHeight="1" x14ac:dyDescent="0.15">
      <c r="A23" s="201"/>
      <c r="B23" s="212"/>
      <c r="C23" s="1" t="s">
        <v>105</v>
      </c>
      <c r="D23" s="4">
        <v>117</v>
      </c>
      <c r="E23" s="4">
        <v>59</v>
      </c>
      <c r="F23" s="4">
        <v>89</v>
      </c>
      <c r="G23" s="4">
        <v>79</v>
      </c>
      <c r="H23" s="4">
        <v>161</v>
      </c>
      <c r="I23" s="4">
        <v>64</v>
      </c>
      <c r="J23" s="4">
        <v>100</v>
      </c>
      <c r="K23" s="4">
        <v>77</v>
      </c>
      <c r="L23" s="4">
        <v>59</v>
      </c>
      <c r="M23" s="4">
        <v>98</v>
      </c>
      <c r="N23" s="4">
        <v>60</v>
      </c>
      <c r="O23" s="4">
        <v>169</v>
      </c>
      <c r="P23" s="11">
        <f t="shared" si="4"/>
        <v>1132</v>
      </c>
    </row>
    <row r="24" spans="1:16" ht="20.100000000000001" customHeight="1" x14ac:dyDescent="0.15">
      <c r="A24" s="201"/>
      <c r="B24" s="212"/>
      <c r="C24" s="1" t="s">
        <v>106</v>
      </c>
      <c r="D24" s="4">
        <v>123</v>
      </c>
      <c r="E24" s="4">
        <v>104</v>
      </c>
      <c r="F24" s="4">
        <v>243</v>
      </c>
      <c r="G24" s="4">
        <v>273</v>
      </c>
      <c r="H24" s="4">
        <v>250</v>
      </c>
      <c r="I24" s="4">
        <v>275</v>
      </c>
      <c r="J24" s="4">
        <v>47</v>
      </c>
      <c r="K24" s="4">
        <v>205</v>
      </c>
      <c r="L24" s="4">
        <v>77</v>
      </c>
      <c r="M24" s="4">
        <v>266</v>
      </c>
      <c r="N24" s="4">
        <v>546</v>
      </c>
      <c r="O24" s="4">
        <v>517</v>
      </c>
      <c r="P24" s="11">
        <f t="shared" si="4"/>
        <v>2926</v>
      </c>
    </row>
    <row r="25" spans="1:16" ht="20.100000000000001" customHeight="1" x14ac:dyDescent="0.15">
      <c r="A25" s="201"/>
      <c r="B25" s="212"/>
      <c r="C25" s="1" t="s">
        <v>107</v>
      </c>
      <c r="D25" s="4">
        <v>42</v>
      </c>
      <c r="E25" s="4">
        <v>116</v>
      </c>
      <c r="F25" s="4">
        <v>160</v>
      </c>
      <c r="G25" s="4">
        <v>96</v>
      </c>
      <c r="H25" s="4">
        <v>56</v>
      </c>
      <c r="I25" s="4">
        <v>171</v>
      </c>
      <c r="J25" s="4">
        <v>108</v>
      </c>
      <c r="K25" s="4">
        <v>159</v>
      </c>
      <c r="L25" s="4">
        <v>167</v>
      </c>
      <c r="M25" s="4">
        <v>50</v>
      </c>
      <c r="N25" s="4">
        <v>89</v>
      </c>
      <c r="O25" s="4">
        <v>254</v>
      </c>
      <c r="P25" s="11">
        <f t="shared" si="4"/>
        <v>1468</v>
      </c>
    </row>
    <row r="26" spans="1:16" ht="20.100000000000001" customHeight="1" x14ac:dyDescent="0.15">
      <c r="A26" s="201"/>
      <c r="B26" s="212"/>
      <c r="C26" s="1" t="s">
        <v>108</v>
      </c>
      <c r="D26" s="4">
        <v>219</v>
      </c>
      <c r="E26" s="4">
        <v>58</v>
      </c>
      <c r="F26" s="4">
        <v>208</v>
      </c>
      <c r="G26" s="4">
        <v>194</v>
      </c>
      <c r="H26" s="4">
        <v>103</v>
      </c>
      <c r="I26" s="4">
        <v>96</v>
      </c>
      <c r="J26" s="4">
        <v>115</v>
      </c>
      <c r="K26" s="4">
        <v>178</v>
      </c>
      <c r="L26" s="4">
        <v>16</v>
      </c>
      <c r="M26" s="4">
        <v>51</v>
      </c>
      <c r="N26" s="4">
        <v>196</v>
      </c>
      <c r="O26" s="4">
        <v>230</v>
      </c>
      <c r="P26" s="11">
        <f t="shared" si="4"/>
        <v>1664</v>
      </c>
    </row>
    <row r="27" spans="1:16" ht="20.100000000000001" customHeight="1" x14ac:dyDescent="0.15">
      <c r="A27" s="201"/>
      <c r="B27" s="212"/>
      <c r="C27" s="1" t="s">
        <v>109</v>
      </c>
      <c r="D27" s="4">
        <v>138</v>
      </c>
      <c r="E27" s="4">
        <v>52</v>
      </c>
      <c r="F27" s="4">
        <v>194</v>
      </c>
      <c r="G27" s="4">
        <v>29</v>
      </c>
      <c r="H27" s="4">
        <v>205</v>
      </c>
      <c r="I27" s="4">
        <v>140</v>
      </c>
      <c r="J27" s="4">
        <v>239</v>
      </c>
      <c r="K27" s="4">
        <v>113</v>
      </c>
      <c r="L27" s="4">
        <v>147</v>
      </c>
      <c r="M27" s="4">
        <v>145</v>
      </c>
      <c r="N27" s="4">
        <v>106</v>
      </c>
      <c r="O27" s="4">
        <v>333</v>
      </c>
      <c r="P27" s="11">
        <f t="shared" si="4"/>
        <v>1841</v>
      </c>
    </row>
    <row r="28" spans="1:16" ht="20.100000000000001" customHeight="1" x14ac:dyDescent="0.15">
      <c r="A28" s="201"/>
      <c r="B28" s="212"/>
      <c r="C28" s="1" t="s">
        <v>110</v>
      </c>
      <c r="D28" s="4">
        <v>1852</v>
      </c>
      <c r="E28" s="4">
        <v>1419</v>
      </c>
      <c r="F28" s="4">
        <v>1754</v>
      </c>
      <c r="G28" s="4">
        <v>1686</v>
      </c>
      <c r="H28" s="4">
        <v>2018</v>
      </c>
      <c r="I28" s="4">
        <v>1419</v>
      </c>
      <c r="J28" s="4">
        <v>962</v>
      </c>
      <c r="K28" s="4">
        <v>1016</v>
      </c>
      <c r="L28" s="4">
        <v>1287</v>
      </c>
      <c r="M28" s="4">
        <v>961</v>
      </c>
      <c r="N28" s="4">
        <v>1395</v>
      </c>
      <c r="O28" s="4">
        <v>1401</v>
      </c>
      <c r="P28" s="11">
        <f t="shared" ref="P28:P35" si="5">SUM(D28:O28)</f>
        <v>17170</v>
      </c>
    </row>
    <row r="29" spans="1:16" ht="20.100000000000001" customHeight="1" x14ac:dyDescent="0.15">
      <c r="A29" s="201"/>
      <c r="B29" s="212"/>
      <c r="C29" s="1" t="s">
        <v>111</v>
      </c>
      <c r="D29" s="4">
        <v>409</v>
      </c>
      <c r="E29" s="4">
        <v>231</v>
      </c>
      <c r="F29" s="4">
        <v>593</v>
      </c>
      <c r="G29" s="4">
        <v>364</v>
      </c>
      <c r="H29" s="4">
        <v>789</v>
      </c>
      <c r="I29" s="4">
        <v>330</v>
      </c>
      <c r="J29" s="4">
        <v>233</v>
      </c>
      <c r="K29" s="4">
        <v>396</v>
      </c>
      <c r="L29" s="4">
        <v>318</v>
      </c>
      <c r="M29" s="4">
        <v>545</v>
      </c>
      <c r="N29" s="4">
        <v>338</v>
      </c>
      <c r="O29" s="4">
        <v>908</v>
      </c>
      <c r="P29" s="11">
        <f t="shared" si="5"/>
        <v>5454</v>
      </c>
    </row>
    <row r="30" spans="1:16" ht="20.100000000000001" customHeight="1" x14ac:dyDescent="0.15">
      <c r="A30" s="201"/>
      <c r="B30" s="212"/>
      <c r="C30" s="1" t="s">
        <v>112</v>
      </c>
      <c r="D30" s="4">
        <v>141</v>
      </c>
      <c r="E30" s="4">
        <v>0</v>
      </c>
      <c r="F30" s="4">
        <v>249</v>
      </c>
      <c r="G30" s="4">
        <v>217</v>
      </c>
      <c r="H30" s="4">
        <v>282</v>
      </c>
      <c r="I30" s="4">
        <v>232</v>
      </c>
      <c r="J30" s="4">
        <v>79</v>
      </c>
      <c r="K30" s="4">
        <v>356</v>
      </c>
      <c r="L30" s="4">
        <v>240</v>
      </c>
      <c r="M30" s="4">
        <v>142</v>
      </c>
      <c r="N30" s="4">
        <v>207</v>
      </c>
      <c r="O30" s="4">
        <v>200</v>
      </c>
      <c r="P30" s="11">
        <f t="shared" si="5"/>
        <v>2345</v>
      </c>
    </row>
    <row r="31" spans="1:16" ht="20.100000000000001" customHeight="1" x14ac:dyDescent="0.15">
      <c r="A31" s="201"/>
      <c r="B31" s="212"/>
      <c r="C31" s="1" t="s">
        <v>113</v>
      </c>
      <c r="D31" s="4"/>
      <c r="E31" s="4">
        <v>34</v>
      </c>
      <c r="F31" s="4">
        <v>116</v>
      </c>
      <c r="G31" s="4">
        <v>0</v>
      </c>
      <c r="H31" s="4">
        <v>68</v>
      </c>
      <c r="I31" s="4">
        <v>97</v>
      </c>
      <c r="J31" s="4">
        <v>35</v>
      </c>
      <c r="K31" s="4">
        <v>5</v>
      </c>
      <c r="L31" s="4">
        <v>71</v>
      </c>
      <c r="M31" s="4">
        <v>141</v>
      </c>
      <c r="N31" s="4">
        <v>20</v>
      </c>
      <c r="O31" s="4">
        <v>50</v>
      </c>
      <c r="P31" s="11">
        <f t="shared" si="5"/>
        <v>637</v>
      </c>
    </row>
    <row r="32" spans="1:16" ht="20.100000000000001" customHeight="1" x14ac:dyDescent="0.15">
      <c r="A32" s="201"/>
      <c r="B32" s="212"/>
      <c r="C32" s="1" t="s">
        <v>114</v>
      </c>
      <c r="D32" s="4">
        <v>573</v>
      </c>
      <c r="E32" s="4">
        <v>256</v>
      </c>
      <c r="F32" s="4">
        <v>98</v>
      </c>
      <c r="G32" s="4">
        <v>0</v>
      </c>
      <c r="H32" s="4">
        <v>57</v>
      </c>
      <c r="I32" s="4">
        <v>150</v>
      </c>
      <c r="J32" s="4">
        <v>224</v>
      </c>
      <c r="K32" s="4">
        <v>459</v>
      </c>
      <c r="L32" s="4">
        <v>459</v>
      </c>
      <c r="M32" s="4">
        <v>1</v>
      </c>
      <c r="N32" s="4">
        <v>99</v>
      </c>
      <c r="O32" s="4">
        <v>904</v>
      </c>
      <c r="P32" s="11">
        <f t="shared" si="5"/>
        <v>3280</v>
      </c>
    </row>
    <row r="33" spans="1:16" ht="20.100000000000001" customHeight="1" x14ac:dyDescent="0.15">
      <c r="A33" s="201"/>
      <c r="B33" s="212"/>
      <c r="C33" s="1" t="s">
        <v>131</v>
      </c>
      <c r="D33" s="4"/>
      <c r="E33" s="4"/>
      <c r="F33" s="4"/>
      <c r="G33" s="4">
        <v>50</v>
      </c>
      <c r="H33" s="4">
        <v>68</v>
      </c>
      <c r="I33" s="4"/>
      <c r="J33" s="4"/>
      <c r="K33" s="4"/>
      <c r="L33" s="4">
        <v>68</v>
      </c>
      <c r="M33" s="4"/>
      <c r="N33" s="4"/>
      <c r="O33" s="4">
        <v>0</v>
      </c>
      <c r="P33" s="11"/>
    </row>
    <row r="34" spans="1:16" ht="20.100000000000001" customHeight="1" x14ac:dyDescent="0.15">
      <c r="A34" s="201"/>
      <c r="B34" s="212"/>
      <c r="C34" s="1" t="s">
        <v>115</v>
      </c>
      <c r="D34" s="4">
        <v>14</v>
      </c>
      <c r="E34" s="4">
        <v>97</v>
      </c>
      <c r="F34" s="4">
        <f>50+42</f>
        <v>92</v>
      </c>
      <c r="G34" s="4"/>
      <c r="H34" s="4">
        <v>10</v>
      </c>
      <c r="I34" s="4">
        <v>7</v>
      </c>
      <c r="J34" s="4">
        <v>12</v>
      </c>
      <c r="K34" s="4">
        <v>5</v>
      </c>
      <c r="L34" s="4">
        <v>18</v>
      </c>
      <c r="M34" s="4">
        <v>48</v>
      </c>
      <c r="N34" s="4">
        <v>7</v>
      </c>
      <c r="O34" s="4">
        <v>6</v>
      </c>
      <c r="P34" s="11">
        <f t="shared" si="5"/>
        <v>316</v>
      </c>
    </row>
    <row r="35" spans="1:16" ht="20.100000000000001" customHeight="1" x14ac:dyDescent="0.15">
      <c r="A35" s="201"/>
      <c r="B35" s="213"/>
      <c r="C35" s="19" t="s">
        <v>130</v>
      </c>
      <c r="D35" s="20">
        <f t="shared" ref="D35:O35" si="6">SUM(D18:D34)</f>
        <v>10691</v>
      </c>
      <c r="E35" s="20">
        <f t="shared" si="6"/>
        <v>7327</v>
      </c>
      <c r="F35" s="20">
        <f t="shared" si="6"/>
        <v>15137</v>
      </c>
      <c r="G35" s="20">
        <f t="shared" si="6"/>
        <v>11017</v>
      </c>
      <c r="H35" s="20">
        <f t="shared" si="6"/>
        <v>12467</v>
      </c>
      <c r="I35" s="20">
        <f t="shared" si="6"/>
        <v>8022</v>
      </c>
      <c r="J35" s="20">
        <f t="shared" si="6"/>
        <v>6079</v>
      </c>
      <c r="K35" s="20">
        <f t="shared" si="6"/>
        <v>12875</v>
      </c>
      <c r="L35" s="20">
        <f t="shared" si="6"/>
        <v>11699</v>
      </c>
      <c r="M35" s="20">
        <f t="shared" si="6"/>
        <v>10818</v>
      </c>
      <c r="N35" s="20">
        <f t="shared" si="6"/>
        <v>13772</v>
      </c>
      <c r="O35" s="20">
        <f t="shared" si="6"/>
        <v>10769</v>
      </c>
      <c r="P35" s="11">
        <f t="shared" si="5"/>
        <v>130673</v>
      </c>
    </row>
    <row r="36" spans="1:16" ht="20.100000000000001" customHeight="1" x14ac:dyDescent="0.15">
      <c r="A36" s="201"/>
      <c r="B36" s="220" t="s">
        <v>124</v>
      </c>
      <c r="C36" s="1" t="s">
        <v>36</v>
      </c>
      <c r="D36" s="4">
        <v>47</v>
      </c>
      <c r="E36" s="4">
        <v>86</v>
      </c>
      <c r="F36" s="4">
        <v>44</v>
      </c>
      <c r="G36" s="4">
        <v>92</v>
      </c>
      <c r="H36" s="4">
        <v>54</v>
      </c>
      <c r="I36" s="4">
        <v>50</v>
      </c>
      <c r="J36" s="4">
        <v>33</v>
      </c>
      <c r="K36" s="4">
        <v>76</v>
      </c>
      <c r="L36" s="4">
        <v>72</v>
      </c>
      <c r="M36" s="4">
        <v>81</v>
      </c>
      <c r="N36" s="4">
        <v>83</v>
      </c>
      <c r="O36" s="4">
        <v>34</v>
      </c>
      <c r="P36" s="11">
        <f t="shared" ref="P36:P45" si="7">SUM(D36:O36)</f>
        <v>752</v>
      </c>
    </row>
    <row r="37" spans="1:16" ht="20.100000000000001" customHeight="1" x14ac:dyDescent="0.15">
      <c r="A37" s="201"/>
      <c r="B37" s="221"/>
      <c r="C37" s="1" t="s">
        <v>46</v>
      </c>
      <c r="D37" s="4">
        <v>47</v>
      </c>
      <c r="E37" s="4">
        <v>41</v>
      </c>
      <c r="F37" s="4">
        <v>38</v>
      </c>
      <c r="G37" s="4">
        <v>48</v>
      </c>
      <c r="H37" s="4">
        <v>40</v>
      </c>
      <c r="I37" s="4">
        <v>35</v>
      </c>
      <c r="J37" s="4">
        <v>11</v>
      </c>
      <c r="K37" s="4">
        <v>53</v>
      </c>
      <c r="L37" s="4">
        <v>33</v>
      </c>
      <c r="M37" s="4">
        <v>80</v>
      </c>
      <c r="N37" s="4">
        <v>38</v>
      </c>
      <c r="O37" s="4">
        <v>31</v>
      </c>
      <c r="P37" s="11">
        <f t="shared" si="7"/>
        <v>495</v>
      </c>
    </row>
    <row r="38" spans="1:16" ht="20.100000000000001" customHeight="1" x14ac:dyDescent="0.15">
      <c r="A38" s="201"/>
      <c r="B38" s="221"/>
      <c r="C38" s="1" t="s">
        <v>116</v>
      </c>
      <c r="D38" s="4">
        <v>16</v>
      </c>
      <c r="E38" s="4">
        <v>12</v>
      </c>
      <c r="F38" s="4">
        <v>15</v>
      </c>
      <c r="G38" s="4">
        <v>22</v>
      </c>
      <c r="H38" s="4">
        <v>5</v>
      </c>
      <c r="I38" s="4"/>
      <c r="J38" s="4">
        <v>3</v>
      </c>
      <c r="K38" s="4">
        <v>8</v>
      </c>
      <c r="L38" s="4">
        <v>19</v>
      </c>
      <c r="M38" s="4">
        <v>32</v>
      </c>
      <c r="N38" s="4">
        <v>11</v>
      </c>
      <c r="O38" s="4">
        <v>11</v>
      </c>
      <c r="P38" s="11">
        <f t="shared" si="7"/>
        <v>154</v>
      </c>
    </row>
    <row r="39" spans="1:16" ht="20.100000000000001" customHeight="1" x14ac:dyDescent="0.15">
      <c r="A39" s="201"/>
      <c r="B39" s="221"/>
      <c r="C39" s="1" t="s">
        <v>115</v>
      </c>
      <c r="D39" s="4">
        <v>10</v>
      </c>
      <c r="E39" s="4">
        <v>7</v>
      </c>
      <c r="F39" s="4">
        <v>43</v>
      </c>
      <c r="G39" s="4">
        <v>81</v>
      </c>
      <c r="H39" s="4">
        <v>146</v>
      </c>
      <c r="I39" s="4">
        <v>36</v>
      </c>
      <c r="J39" s="4">
        <v>50</v>
      </c>
      <c r="K39" s="4">
        <v>59</v>
      </c>
      <c r="L39" s="4">
        <v>44</v>
      </c>
      <c r="M39" s="4">
        <v>83</v>
      </c>
      <c r="N39" s="4">
        <v>66</v>
      </c>
      <c r="O39" s="4">
        <v>67</v>
      </c>
      <c r="P39" s="11">
        <f t="shared" si="7"/>
        <v>692</v>
      </c>
    </row>
    <row r="40" spans="1:16" ht="20.100000000000001" customHeight="1" x14ac:dyDescent="0.15">
      <c r="A40" s="201"/>
      <c r="B40" s="222"/>
      <c r="C40" s="19" t="s">
        <v>130</v>
      </c>
      <c r="D40" s="20">
        <f t="shared" ref="D40:O40" si="8">SUM(D36:D39)</f>
        <v>120</v>
      </c>
      <c r="E40" s="20">
        <f t="shared" si="8"/>
        <v>146</v>
      </c>
      <c r="F40" s="20">
        <f t="shared" si="8"/>
        <v>140</v>
      </c>
      <c r="G40" s="20">
        <f t="shared" si="8"/>
        <v>243</v>
      </c>
      <c r="H40" s="20">
        <f t="shared" si="8"/>
        <v>245</v>
      </c>
      <c r="I40" s="20">
        <f t="shared" si="8"/>
        <v>121</v>
      </c>
      <c r="J40" s="20">
        <f t="shared" si="8"/>
        <v>97</v>
      </c>
      <c r="K40" s="20">
        <f t="shared" si="8"/>
        <v>196</v>
      </c>
      <c r="L40" s="20">
        <f t="shared" si="8"/>
        <v>168</v>
      </c>
      <c r="M40" s="20">
        <f t="shared" si="8"/>
        <v>276</v>
      </c>
      <c r="N40" s="20">
        <f t="shared" si="8"/>
        <v>198</v>
      </c>
      <c r="O40" s="20">
        <f t="shared" si="8"/>
        <v>143</v>
      </c>
      <c r="P40" s="11">
        <f t="shared" si="7"/>
        <v>2093</v>
      </c>
    </row>
    <row r="41" spans="1:16" ht="20.100000000000001" customHeight="1" x14ac:dyDescent="0.15">
      <c r="A41" s="201"/>
      <c r="B41" s="216" t="s">
        <v>128</v>
      </c>
      <c r="C41" s="217"/>
      <c r="D41" s="4">
        <v>113</v>
      </c>
      <c r="E41" s="4">
        <v>111</v>
      </c>
      <c r="F41" s="4">
        <v>96</v>
      </c>
      <c r="G41" s="4">
        <v>188</v>
      </c>
      <c r="H41" s="4">
        <v>120</v>
      </c>
      <c r="I41" s="4">
        <v>36</v>
      </c>
      <c r="J41" s="4">
        <v>40</v>
      </c>
      <c r="K41" s="4">
        <v>100</v>
      </c>
      <c r="L41" s="4">
        <v>41</v>
      </c>
      <c r="M41" s="4">
        <v>98</v>
      </c>
      <c r="N41" s="4">
        <v>116</v>
      </c>
      <c r="O41" s="4">
        <v>76</v>
      </c>
      <c r="P41" s="11">
        <f t="shared" si="7"/>
        <v>1135</v>
      </c>
    </row>
    <row r="42" spans="1:16" ht="24.75" customHeight="1" x14ac:dyDescent="0.15">
      <c r="A42" s="201"/>
      <c r="B42" s="199" t="s">
        <v>40</v>
      </c>
      <c r="C42" s="199"/>
      <c r="D42" s="6">
        <f>D35+D40+D41</f>
        <v>10924</v>
      </c>
      <c r="E42" s="6">
        <f>E35+E40+E41</f>
        <v>7584</v>
      </c>
      <c r="F42" s="6">
        <f>F35+F40+F41</f>
        <v>15373</v>
      </c>
      <c r="G42" s="6">
        <f>G35+G40+G41</f>
        <v>11448</v>
      </c>
      <c r="H42" s="6">
        <f>H35+H40+H41</f>
        <v>12832</v>
      </c>
      <c r="I42" s="6">
        <f t="shared" ref="I42:O42" si="9">I35+I40+I41</f>
        <v>8179</v>
      </c>
      <c r="J42" s="6">
        <f t="shared" si="9"/>
        <v>6216</v>
      </c>
      <c r="K42" s="6">
        <f>K35+K40+K41</f>
        <v>13171</v>
      </c>
      <c r="L42" s="6">
        <f t="shared" si="9"/>
        <v>11908</v>
      </c>
      <c r="M42" s="6">
        <f t="shared" si="9"/>
        <v>11192</v>
      </c>
      <c r="N42" s="6">
        <f t="shared" si="9"/>
        <v>14086</v>
      </c>
      <c r="O42" s="6">
        <f t="shared" si="9"/>
        <v>10988</v>
      </c>
      <c r="P42" s="13">
        <f t="shared" si="7"/>
        <v>133901</v>
      </c>
    </row>
    <row r="43" spans="1:16" s="2" customFormat="1" ht="26.45" customHeight="1" x14ac:dyDescent="0.15">
      <c r="A43" s="202" t="s">
        <v>41</v>
      </c>
      <c r="B43" s="203"/>
      <c r="C43" s="203"/>
      <c r="D43" s="7">
        <f t="shared" ref="D43:O43" si="10">SUM(D17,D42)</f>
        <v>78029</v>
      </c>
      <c r="E43" s="7">
        <f t="shared" si="10"/>
        <v>94480</v>
      </c>
      <c r="F43" s="7">
        <f t="shared" si="10"/>
        <v>95807</v>
      </c>
      <c r="G43" s="7">
        <f t="shared" si="10"/>
        <v>87276</v>
      </c>
      <c r="H43" s="7">
        <f t="shared" si="10"/>
        <v>88440</v>
      </c>
      <c r="I43" s="7">
        <f t="shared" si="10"/>
        <v>86336</v>
      </c>
      <c r="J43" s="7">
        <f t="shared" si="10"/>
        <v>79810</v>
      </c>
      <c r="K43" s="7">
        <f t="shared" si="10"/>
        <v>47968</v>
      </c>
      <c r="L43" s="7">
        <f t="shared" si="10"/>
        <v>74708</v>
      </c>
      <c r="M43" s="7">
        <f t="shared" si="10"/>
        <v>72873</v>
      </c>
      <c r="N43" s="7">
        <f t="shared" si="10"/>
        <v>93871</v>
      </c>
      <c r="O43" s="7">
        <f t="shared" si="10"/>
        <v>84556</v>
      </c>
      <c r="P43" s="12">
        <f t="shared" si="7"/>
        <v>984154</v>
      </c>
    </row>
    <row r="44" spans="1:16" ht="19.5" customHeight="1" x14ac:dyDescent="0.15">
      <c r="A44" s="204" t="s">
        <v>43</v>
      </c>
      <c r="B44" s="205"/>
      <c r="C44" s="205"/>
      <c r="D44" s="4">
        <v>32076</v>
      </c>
      <c r="E44" s="4">
        <v>37496</v>
      </c>
      <c r="F44" s="4">
        <v>34053</v>
      </c>
      <c r="G44" s="4">
        <v>27974</v>
      </c>
      <c r="H44" s="4">
        <v>32479</v>
      </c>
      <c r="I44" s="4">
        <v>29402</v>
      </c>
      <c r="J44" s="4">
        <v>31475</v>
      </c>
      <c r="K44" s="4">
        <v>19802</v>
      </c>
      <c r="L44" s="4">
        <v>30037</v>
      </c>
      <c r="M44" s="4">
        <v>34108</v>
      </c>
      <c r="N44" s="4">
        <v>35609</v>
      </c>
      <c r="O44" s="4">
        <v>35563</v>
      </c>
      <c r="P44" s="11">
        <f t="shared" si="7"/>
        <v>380074</v>
      </c>
    </row>
    <row r="45" spans="1:16" ht="20.100000000000001" customHeight="1" x14ac:dyDescent="0.15">
      <c r="A45" s="218" t="s">
        <v>129</v>
      </c>
      <c r="B45" s="219"/>
      <c r="C45" s="217"/>
      <c r="D45" s="16">
        <v>1734</v>
      </c>
      <c r="E45" s="16">
        <v>577</v>
      </c>
      <c r="F45" s="16">
        <v>969</v>
      </c>
      <c r="G45" s="16">
        <v>911</v>
      </c>
      <c r="H45" s="16">
        <v>1262</v>
      </c>
      <c r="I45" s="16">
        <v>2110</v>
      </c>
      <c r="J45" s="16">
        <v>1252</v>
      </c>
      <c r="K45" s="16">
        <v>1051</v>
      </c>
      <c r="L45" s="16">
        <v>1051</v>
      </c>
      <c r="M45" s="16">
        <v>681</v>
      </c>
      <c r="N45" s="16">
        <v>1892</v>
      </c>
      <c r="O45" s="16">
        <v>1147</v>
      </c>
      <c r="P45" s="17">
        <f t="shared" si="7"/>
        <v>14637</v>
      </c>
    </row>
    <row r="46" spans="1:16" s="2" customFormat="1" ht="27.75" customHeight="1" thickBot="1" x14ac:dyDescent="0.2">
      <c r="A46" s="197" t="s">
        <v>42</v>
      </c>
      <c r="B46" s="198"/>
      <c r="C46" s="198"/>
      <c r="D46" s="10">
        <f t="shared" ref="D46:O46" si="11">D43+D44+D45</f>
        <v>111839</v>
      </c>
      <c r="E46" s="10">
        <f t="shared" si="11"/>
        <v>132553</v>
      </c>
      <c r="F46" s="10">
        <f t="shared" si="11"/>
        <v>130829</v>
      </c>
      <c r="G46" s="10">
        <f t="shared" si="11"/>
        <v>116161</v>
      </c>
      <c r="H46" s="10">
        <f t="shared" si="11"/>
        <v>122181</v>
      </c>
      <c r="I46" s="10">
        <f t="shared" si="11"/>
        <v>117848</v>
      </c>
      <c r="J46" s="10">
        <f t="shared" si="11"/>
        <v>112537</v>
      </c>
      <c r="K46" s="10">
        <f t="shared" si="11"/>
        <v>68821</v>
      </c>
      <c r="L46" s="10">
        <f t="shared" si="11"/>
        <v>105796</v>
      </c>
      <c r="M46" s="10">
        <f t="shared" si="11"/>
        <v>107662</v>
      </c>
      <c r="N46" s="10">
        <f t="shared" si="11"/>
        <v>131372</v>
      </c>
      <c r="O46" s="10">
        <f t="shared" si="11"/>
        <v>121266</v>
      </c>
      <c r="P46" s="14">
        <f>SUM(D46:O46)</f>
        <v>1378865</v>
      </c>
    </row>
    <row r="47" spans="1:16" ht="20.100000000000001" customHeight="1" x14ac:dyDescent="0.15"/>
  </sheetData>
  <mergeCells count="17">
    <mergeCell ref="A46:C46"/>
    <mergeCell ref="B10:B14"/>
    <mergeCell ref="B15:C15"/>
    <mergeCell ref="B41:C41"/>
    <mergeCell ref="A45:C45"/>
    <mergeCell ref="A18:A42"/>
    <mergeCell ref="B42:C42"/>
    <mergeCell ref="A43:C43"/>
    <mergeCell ref="A44:C44"/>
    <mergeCell ref="B18:B35"/>
    <mergeCell ref="B36:B40"/>
    <mergeCell ref="A1:P1"/>
    <mergeCell ref="A2:C2"/>
    <mergeCell ref="A3:A17"/>
    <mergeCell ref="B3:B9"/>
    <mergeCell ref="B16:C16"/>
    <mergeCell ref="B17:C17"/>
  </mergeCells>
  <phoneticPr fontId="14" type="noConversion"/>
  <pageMargins left="1.24" right="0.51181102362204722" top="0.72" bottom="0.35433070866141736" header="0.11811023622047245" footer="0.11811023622047245"/>
  <pageSetup paperSize="9" scale="56" fitToWidth="2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P47"/>
  <sheetViews>
    <sheetView workbookViewId="0">
      <pane xSplit="3" ySplit="2" topLeftCell="L3" activePane="bottomRight" state="frozen"/>
      <selection pane="topRight" activeCell="D1" sqref="D1"/>
      <selection pane="bottomLeft" activeCell="A3" sqref="A3"/>
      <selection pane="bottomRight" activeCell="D49" sqref="D49"/>
    </sheetView>
  </sheetViews>
  <sheetFormatPr defaultRowHeight="13.5" x14ac:dyDescent="0.15"/>
  <cols>
    <col min="1" max="1" width="5.21875" customWidth="1"/>
    <col min="2" max="2" width="5.44140625" customWidth="1"/>
    <col min="3" max="3" width="11.44140625" customWidth="1"/>
    <col min="4" max="15" width="13.5546875" customWidth="1"/>
    <col min="16" max="16" width="14.6640625" style="2" customWidth="1"/>
  </cols>
  <sheetData>
    <row r="1" spans="1:16" ht="51" customHeight="1" thickBot="1" x14ac:dyDescent="0.2">
      <c r="A1" s="207" t="s">
        <v>133</v>
      </c>
      <c r="B1" s="208"/>
      <c r="C1" s="208"/>
      <c r="D1" s="208"/>
      <c r="E1" s="208"/>
      <c r="F1" s="208"/>
      <c r="G1" s="208"/>
      <c r="H1" s="208"/>
      <c r="I1" s="208"/>
      <c r="J1" s="208"/>
      <c r="K1" s="208"/>
      <c r="L1" s="208"/>
      <c r="M1" s="208"/>
      <c r="N1" s="208"/>
      <c r="O1" s="208"/>
      <c r="P1" s="208"/>
    </row>
    <row r="2" spans="1:16" ht="25.5" customHeight="1" x14ac:dyDescent="0.15">
      <c r="A2" s="209" t="s">
        <v>13</v>
      </c>
      <c r="B2" s="210"/>
      <c r="C2" s="210"/>
      <c r="D2" s="8" t="s">
        <v>0</v>
      </c>
      <c r="E2" s="8" t="s">
        <v>1</v>
      </c>
      <c r="F2" s="8" t="s">
        <v>2</v>
      </c>
      <c r="G2" s="8" t="s">
        <v>3</v>
      </c>
      <c r="H2" s="8" t="s">
        <v>4</v>
      </c>
      <c r="I2" s="8" t="s">
        <v>5</v>
      </c>
      <c r="J2" s="8" t="s">
        <v>6</v>
      </c>
      <c r="K2" s="8" t="s">
        <v>7</v>
      </c>
      <c r="L2" s="8" t="s">
        <v>8</v>
      </c>
      <c r="M2" s="8" t="s">
        <v>9</v>
      </c>
      <c r="N2" s="8" t="s">
        <v>10</v>
      </c>
      <c r="O2" s="8" t="s">
        <v>11</v>
      </c>
      <c r="P2" s="9" t="s">
        <v>44</v>
      </c>
    </row>
    <row r="3" spans="1:16" ht="19.899999999999999" customHeight="1" x14ac:dyDescent="0.15">
      <c r="A3" s="200" t="s">
        <v>14</v>
      </c>
      <c r="B3" s="206" t="s">
        <v>122</v>
      </c>
      <c r="C3" s="1" t="s">
        <v>16</v>
      </c>
      <c r="D3" s="4">
        <v>65583</v>
      </c>
      <c r="E3" s="4">
        <v>51592</v>
      </c>
      <c r="F3" s="4">
        <v>66493</v>
      </c>
      <c r="G3" s="4">
        <v>59519</v>
      </c>
      <c r="H3" s="4">
        <v>65181</v>
      </c>
      <c r="I3" s="4">
        <v>65516</v>
      </c>
      <c r="J3" s="4">
        <v>60531</v>
      </c>
      <c r="K3" s="4">
        <v>45157</v>
      </c>
      <c r="L3" s="4">
        <v>39862</v>
      </c>
      <c r="M3" s="4">
        <v>51840</v>
      </c>
      <c r="N3" s="4">
        <v>67891</v>
      </c>
      <c r="O3" s="4">
        <v>71915</v>
      </c>
      <c r="P3" s="11">
        <f t="shared" ref="P3:P9" si="0">SUM(D3:O3)</f>
        <v>711080</v>
      </c>
    </row>
    <row r="4" spans="1:16" ht="19.899999999999999" customHeight="1" x14ac:dyDescent="0.15">
      <c r="A4" s="200"/>
      <c r="B4" s="205"/>
      <c r="C4" s="1" t="s">
        <v>17</v>
      </c>
      <c r="D4" s="4">
        <f>4242+4160</f>
        <v>8402</v>
      </c>
      <c r="E4" s="4">
        <f>4470+5977</f>
        <v>10447</v>
      </c>
      <c r="F4" s="4">
        <f>1774+4669</f>
        <v>6443</v>
      </c>
      <c r="G4" s="4">
        <f>551+6012</f>
        <v>6563</v>
      </c>
      <c r="H4" s="4">
        <f>82+6298</f>
        <v>6380</v>
      </c>
      <c r="I4" s="4">
        <f>2044+6073</f>
        <v>8117</v>
      </c>
      <c r="J4" s="4">
        <f>2937+3613</f>
        <v>6550</v>
      </c>
      <c r="K4" s="4">
        <f>1594+3792</f>
        <v>5386</v>
      </c>
      <c r="L4" s="4">
        <f>819+4413</f>
        <v>5232</v>
      </c>
      <c r="M4" s="4">
        <f>3124+5284</f>
        <v>8408</v>
      </c>
      <c r="N4" s="4">
        <f>1824+4851</f>
        <v>6675</v>
      </c>
      <c r="O4" s="4">
        <f>2775+7004</f>
        <v>9779</v>
      </c>
      <c r="P4" s="11">
        <f t="shared" si="0"/>
        <v>88382</v>
      </c>
    </row>
    <row r="5" spans="1:16" ht="19.899999999999999" customHeight="1" x14ac:dyDescent="0.15">
      <c r="A5" s="200"/>
      <c r="B5" s="205"/>
      <c r="C5" s="1" t="s">
        <v>18</v>
      </c>
      <c r="D5" s="4">
        <v>2848</v>
      </c>
      <c r="E5" s="4">
        <v>1509</v>
      </c>
      <c r="F5" s="4">
        <v>2722</v>
      </c>
      <c r="G5" s="4">
        <v>2185</v>
      </c>
      <c r="H5" s="4">
        <v>2953</v>
      </c>
      <c r="I5" s="4">
        <v>2627</v>
      </c>
      <c r="J5" s="4">
        <v>2863</v>
      </c>
      <c r="K5" s="4">
        <v>2807</v>
      </c>
      <c r="L5" s="4">
        <v>2609</v>
      </c>
      <c r="M5" s="4">
        <v>3161</v>
      </c>
      <c r="N5" s="4">
        <v>3581</v>
      </c>
      <c r="O5" s="4">
        <v>4485</v>
      </c>
      <c r="P5" s="11">
        <f t="shared" si="0"/>
        <v>34350</v>
      </c>
    </row>
    <row r="6" spans="1:16" ht="19.899999999999999" customHeight="1" x14ac:dyDescent="0.15">
      <c r="A6" s="200"/>
      <c r="B6" s="205"/>
      <c r="C6" s="1" t="s">
        <v>118</v>
      </c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11">
        <f t="shared" si="0"/>
        <v>0</v>
      </c>
    </row>
    <row r="7" spans="1:16" ht="19.899999999999999" customHeight="1" x14ac:dyDescent="0.15">
      <c r="A7" s="200"/>
      <c r="B7" s="205"/>
      <c r="C7" s="1" t="s">
        <v>119</v>
      </c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11">
        <f t="shared" si="0"/>
        <v>0</v>
      </c>
    </row>
    <row r="8" spans="1:16" ht="19.899999999999999" customHeight="1" x14ac:dyDescent="0.15">
      <c r="A8" s="200"/>
      <c r="B8" s="205"/>
      <c r="C8" s="1" t="s">
        <v>19</v>
      </c>
      <c r="D8" s="4">
        <v>0</v>
      </c>
      <c r="E8" s="4">
        <v>0</v>
      </c>
      <c r="F8" s="4">
        <v>77</v>
      </c>
      <c r="G8" s="4">
        <v>104</v>
      </c>
      <c r="H8" s="4">
        <v>601</v>
      </c>
      <c r="I8" s="4">
        <v>8</v>
      </c>
      <c r="J8" s="4">
        <v>6</v>
      </c>
      <c r="K8" s="4">
        <v>100</v>
      </c>
      <c r="L8" s="4">
        <v>363</v>
      </c>
      <c r="M8" s="4">
        <v>147</v>
      </c>
      <c r="N8" s="4">
        <v>210</v>
      </c>
      <c r="O8" s="4">
        <v>214</v>
      </c>
      <c r="P8" s="11">
        <f t="shared" si="0"/>
        <v>1830</v>
      </c>
    </row>
    <row r="9" spans="1:16" ht="19.899999999999999" customHeight="1" x14ac:dyDescent="0.15">
      <c r="A9" s="200"/>
      <c r="B9" s="205"/>
      <c r="C9" s="3" t="s">
        <v>22</v>
      </c>
      <c r="D9" s="5">
        <f t="shared" ref="D9:O9" si="1">SUM(D3:D8)</f>
        <v>76833</v>
      </c>
      <c r="E9" s="5">
        <f t="shared" si="1"/>
        <v>63548</v>
      </c>
      <c r="F9" s="5">
        <f t="shared" si="1"/>
        <v>75735</v>
      </c>
      <c r="G9" s="5">
        <f t="shared" si="1"/>
        <v>68371</v>
      </c>
      <c r="H9" s="5">
        <f t="shared" si="1"/>
        <v>75115</v>
      </c>
      <c r="I9" s="5">
        <f t="shared" si="1"/>
        <v>76268</v>
      </c>
      <c r="J9" s="5">
        <f t="shared" si="1"/>
        <v>69950</v>
      </c>
      <c r="K9" s="5">
        <f t="shared" si="1"/>
        <v>53450</v>
      </c>
      <c r="L9" s="5">
        <f t="shared" si="1"/>
        <v>48066</v>
      </c>
      <c r="M9" s="5">
        <f t="shared" si="1"/>
        <v>63556</v>
      </c>
      <c r="N9" s="5">
        <f t="shared" si="1"/>
        <v>78357</v>
      </c>
      <c r="O9" s="5">
        <f t="shared" si="1"/>
        <v>86393</v>
      </c>
      <c r="P9" s="11">
        <f t="shared" si="0"/>
        <v>835642</v>
      </c>
    </row>
    <row r="10" spans="1:16" ht="19.899999999999999" customHeight="1" x14ac:dyDescent="0.15">
      <c r="A10" s="200"/>
      <c r="B10" s="211" t="s">
        <v>123</v>
      </c>
      <c r="C10" s="15" t="s">
        <v>120</v>
      </c>
      <c r="D10" s="18">
        <v>17</v>
      </c>
      <c r="E10" s="18">
        <v>84</v>
      </c>
      <c r="F10" s="18">
        <v>133</v>
      </c>
      <c r="G10" s="18">
        <v>28</v>
      </c>
      <c r="H10" s="18">
        <v>125</v>
      </c>
      <c r="I10" s="18">
        <v>61</v>
      </c>
      <c r="J10" s="18">
        <v>211</v>
      </c>
      <c r="K10" s="18">
        <v>46</v>
      </c>
      <c r="L10" s="18">
        <v>18</v>
      </c>
      <c r="M10" s="18">
        <v>23</v>
      </c>
      <c r="N10" s="18">
        <v>33</v>
      </c>
      <c r="O10" s="18">
        <v>24</v>
      </c>
      <c r="P10" s="11">
        <f t="shared" ref="P10:P16" si="2">SUM(D10:O10)</f>
        <v>803</v>
      </c>
    </row>
    <row r="11" spans="1:16" ht="19.899999999999999" customHeight="1" x14ac:dyDescent="0.15">
      <c r="A11" s="200"/>
      <c r="B11" s="212"/>
      <c r="C11" s="15" t="s">
        <v>17</v>
      </c>
      <c r="D11" s="18">
        <v>37</v>
      </c>
      <c r="E11" s="18">
        <v>53</v>
      </c>
      <c r="F11" s="18">
        <v>89</v>
      </c>
      <c r="G11" s="18">
        <v>23</v>
      </c>
      <c r="H11" s="18">
        <v>17</v>
      </c>
      <c r="I11" s="18">
        <v>33</v>
      </c>
      <c r="J11" s="18">
        <v>47</v>
      </c>
      <c r="K11" s="18">
        <v>19</v>
      </c>
      <c r="L11" s="18">
        <v>4</v>
      </c>
      <c r="M11" s="18">
        <v>16</v>
      </c>
      <c r="N11" s="18">
        <v>4</v>
      </c>
      <c r="O11" s="18">
        <v>110</v>
      </c>
      <c r="P11" s="11">
        <f t="shared" si="2"/>
        <v>452</v>
      </c>
    </row>
    <row r="12" spans="1:16" ht="19.899999999999999" customHeight="1" x14ac:dyDescent="0.15">
      <c r="A12" s="200"/>
      <c r="B12" s="212"/>
      <c r="C12" s="15" t="s">
        <v>132</v>
      </c>
      <c r="D12" s="18">
        <v>108</v>
      </c>
      <c r="E12" s="18">
        <v>27</v>
      </c>
      <c r="F12" s="18">
        <v>3</v>
      </c>
      <c r="G12" s="18">
        <v>50</v>
      </c>
      <c r="H12" s="18">
        <v>4</v>
      </c>
      <c r="I12" s="18">
        <v>10</v>
      </c>
      <c r="J12" s="18">
        <v>3</v>
      </c>
      <c r="K12" s="18">
        <v>44</v>
      </c>
      <c r="L12" s="18">
        <v>25</v>
      </c>
      <c r="M12" s="18">
        <v>8</v>
      </c>
      <c r="N12" s="18"/>
      <c r="O12" s="18"/>
      <c r="P12" s="11">
        <f t="shared" si="2"/>
        <v>282</v>
      </c>
    </row>
    <row r="13" spans="1:16" ht="19.899999999999999" customHeight="1" x14ac:dyDescent="0.15">
      <c r="A13" s="200"/>
      <c r="B13" s="212"/>
      <c r="C13" s="15" t="s">
        <v>19</v>
      </c>
      <c r="D13" s="18">
        <v>136</v>
      </c>
      <c r="E13" s="18">
        <v>19</v>
      </c>
      <c r="F13" s="18">
        <v>68</v>
      </c>
      <c r="G13" s="18">
        <v>26</v>
      </c>
      <c r="H13" s="18">
        <v>26</v>
      </c>
      <c r="I13" s="18">
        <v>21</v>
      </c>
      <c r="J13" s="18">
        <v>29</v>
      </c>
      <c r="K13" s="18">
        <v>29</v>
      </c>
      <c r="L13" s="18">
        <v>109</v>
      </c>
      <c r="M13" s="18">
        <v>28</v>
      </c>
      <c r="N13" s="18">
        <v>45</v>
      </c>
      <c r="O13" s="18">
        <v>67</v>
      </c>
      <c r="P13" s="11">
        <f t="shared" si="2"/>
        <v>603</v>
      </c>
    </row>
    <row r="14" spans="1:16" ht="19.899999999999999" customHeight="1" x14ac:dyDescent="0.15">
      <c r="A14" s="200"/>
      <c r="B14" s="213"/>
      <c r="C14" s="3" t="s">
        <v>22</v>
      </c>
      <c r="D14" s="5">
        <f t="shared" ref="D14:J14" si="3">SUM(D10:D13)</f>
        <v>298</v>
      </c>
      <c r="E14" s="5">
        <f t="shared" si="3"/>
        <v>183</v>
      </c>
      <c r="F14" s="5">
        <f t="shared" si="3"/>
        <v>293</v>
      </c>
      <c r="G14" s="5">
        <f t="shared" si="3"/>
        <v>127</v>
      </c>
      <c r="H14" s="5">
        <f t="shared" si="3"/>
        <v>172</v>
      </c>
      <c r="I14" s="5">
        <f t="shared" si="3"/>
        <v>125</v>
      </c>
      <c r="J14" s="5">
        <f t="shared" si="3"/>
        <v>290</v>
      </c>
      <c r="K14" s="5">
        <f>SUM(K10:K13)</f>
        <v>138</v>
      </c>
      <c r="L14" s="5">
        <f>SUM(L10:L13)</f>
        <v>156</v>
      </c>
      <c r="M14" s="5">
        <f>SUM(M10:M13)</f>
        <v>75</v>
      </c>
      <c r="N14" s="5">
        <f>SUM(N10:N13)</f>
        <v>82</v>
      </c>
      <c r="O14" s="5">
        <f>SUM(O10:O13)</f>
        <v>201</v>
      </c>
      <c r="P14" s="11">
        <f t="shared" si="2"/>
        <v>2140</v>
      </c>
    </row>
    <row r="15" spans="1:16" ht="19.5" customHeight="1" x14ac:dyDescent="0.15">
      <c r="A15" s="200"/>
      <c r="B15" s="214" t="s">
        <v>20</v>
      </c>
      <c r="C15" s="215"/>
      <c r="D15" s="18">
        <f>217+97+8</f>
        <v>322</v>
      </c>
      <c r="E15" s="18">
        <f>179+67+2</f>
        <v>248</v>
      </c>
      <c r="F15" s="18">
        <f>958+349+5</f>
        <v>1312</v>
      </c>
      <c r="G15" s="18">
        <f>506+183+6</f>
        <v>695</v>
      </c>
      <c r="H15" s="18">
        <f>381+86+9</f>
        <v>476</v>
      </c>
      <c r="I15" s="18">
        <f>469+178+10</f>
        <v>657</v>
      </c>
      <c r="J15" s="18">
        <f>325+70+21</f>
        <v>416</v>
      </c>
      <c r="K15" s="18">
        <f>432+59+56</f>
        <v>547</v>
      </c>
      <c r="L15" s="18">
        <f>567+153+23</f>
        <v>743</v>
      </c>
      <c r="M15" s="18">
        <f>1067+289+13</f>
        <v>1369</v>
      </c>
      <c r="N15" s="18">
        <f>280+151+13</f>
        <v>444</v>
      </c>
      <c r="O15" s="18">
        <f>640+134+5</f>
        <v>779</v>
      </c>
      <c r="P15" s="11">
        <f t="shared" si="2"/>
        <v>8008</v>
      </c>
    </row>
    <row r="16" spans="1:16" ht="19.899999999999999" customHeight="1" x14ac:dyDescent="0.15">
      <c r="A16" s="200"/>
      <c r="B16" s="205" t="s">
        <v>127</v>
      </c>
      <c r="C16" s="205"/>
      <c r="D16" s="4">
        <v>30</v>
      </c>
      <c r="E16" s="4">
        <v>102</v>
      </c>
      <c r="F16" s="4">
        <v>95</v>
      </c>
      <c r="G16" s="4">
        <v>16</v>
      </c>
      <c r="H16" s="4">
        <v>342</v>
      </c>
      <c r="I16" s="4">
        <v>186</v>
      </c>
      <c r="J16" s="4">
        <v>116</v>
      </c>
      <c r="K16" s="4">
        <v>67</v>
      </c>
      <c r="L16" s="4">
        <v>35</v>
      </c>
      <c r="M16" s="4">
        <v>62</v>
      </c>
      <c r="N16" s="4">
        <v>35</v>
      </c>
      <c r="O16" s="4">
        <v>60</v>
      </c>
      <c r="P16" s="11">
        <f t="shared" si="2"/>
        <v>1146</v>
      </c>
    </row>
    <row r="17" spans="1:16" ht="26.45" customHeight="1" x14ac:dyDescent="0.15">
      <c r="A17" s="200"/>
      <c r="B17" s="199" t="s">
        <v>39</v>
      </c>
      <c r="C17" s="199"/>
      <c r="D17" s="6">
        <f t="shared" ref="D17:O17" si="4">D9+D16+D14+D15</f>
        <v>77483</v>
      </c>
      <c r="E17" s="6">
        <f t="shared" si="4"/>
        <v>64081</v>
      </c>
      <c r="F17" s="6">
        <f t="shared" si="4"/>
        <v>77435</v>
      </c>
      <c r="G17" s="6">
        <f t="shared" si="4"/>
        <v>69209</v>
      </c>
      <c r="H17" s="6">
        <f t="shared" si="4"/>
        <v>76105</v>
      </c>
      <c r="I17" s="6">
        <f t="shared" si="4"/>
        <v>77236</v>
      </c>
      <c r="J17" s="6">
        <f t="shared" si="4"/>
        <v>70772</v>
      </c>
      <c r="K17" s="6">
        <f>K9+K14+K15+K16</f>
        <v>54202</v>
      </c>
      <c r="L17" s="6">
        <f t="shared" si="4"/>
        <v>49000</v>
      </c>
      <c r="M17" s="6">
        <f t="shared" si="4"/>
        <v>65062</v>
      </c>
      <c r="N17" s="6">
        <f t="shared" si="4"/>
        <v>78918</v>
      </c>
      <c r="O17" s="6">
        <f t="shared" si="4"/>
        <v>87433</v>
      </c>
      <c r="P17" s="13">
        <f t="shared" ref="P17:P27" si="5">SUM(D17:O17)</f>
        <v>846936</v>
      </c>
    </row>
    <row r="18" spans="1:16" ht="19.5" customHeight="1" x14ac:dyDescent="0.15">
      <c r="A18" s="200" t="s">
        <v>21</v>
      </c>
      <c r="B18" s="211" t="s">
        <v>125</v>
      </c>
      <c r="C18" s="1" t="s">
        <v>25</v>
      </c>
      <c r="D18" s="4">
        <v>3604</v>
      </c>
      <c r="E18" s="4">
        <v>3243</v>
      </c>
      <c r="F18" s="4">
        <v>3550</v>
      </c>
      <c r="G18" s="4">
        <v>5377</v>
      </c>
      <c r="H18" s="4">
        <v>2806</v>
      </c>
      <c r="I18" s="4">
        <v>4160</v>
      </c>
      <c r="J18" s="4">
        <v>1686</v>
      </c>
      <c r="K18" s="4">
        <v>1954</v>
      </c>
      <c r="L18" s="4">
        <v>4210</v>
      </c>
      <c r="M18" s="4">
        <v>3962</v>
      </c>
      <c r="N18" s="4">
        <v>3074</v>
      </c>
      <c r="O18" s="4">
        <v>4288</v>
      </c>
      <c r="P18" s="11">
        <f t="shared" si="5"/>
        <v>41914</v>
      </c>
    </row>
    <row r="19" spans="1:16" ht="20.100000000000001" customHeight="1" x14ac:dyDescent="0.15">
      <c r="A19" s="201"/>
      <c r="B19" s="212"/>
      <c r="C19" s="1" t="s">
        <v>26</v>
      </c>
      <c r="D19" s="4">
        <v>1933</v>
      </c>
      <c r="E19" s="4">
        <v>1678</v>
      </c>
      <c r="F19" s="4">
        <v>1759</v>
      </c>
      <c r="G19" s="4">
        <v>2649</v>
      </c>
      <c r="H19" s="4">
        <v>417</v>
      </c>
      <c r="I19" s="4">
        <v>3259</v>
      </c>
      <c r="J19" s="4">
        <v>1319</v>
      </c>
      <c r="K19" s="4">
        <v>1573</v>
      </c>
      <c r="L19" s="4">
        <v>2625</v>
      </c>
      <c r="M19" s="4">
        <v>2382</v>
      </c>
      <c r="N19" s="4">
        <v>2130</v>
      </c>
      <c r="O19" s="4">
        <v>2778</v>
      </c>
      <c r="P19" s="11">
        <f t="shared" si="5"/>
        <v>24502</v>
      </c>
    </row>
    <row r="20" spans="1:16" ht="20.100000000000001" customHeight="1" x14ac:dyDescent="0.15">
      <c r="A20" s="201"/>
      <c r="B20" s="212"/>
      <c r="C20" s="1" t="s">
        <v>23</v>
      </c>
      <c r="D20" s="4">
        <v>1895</v>
      </c>
      <c r="E20" s="4">
        <v>1704</v>
      </c>
      <c r="F20" s="4">
        <v>672</v>
      </c>
      <c r="G20" s="4">
        <v>2231</v>
      </c>
      <c r="H20" s="4">
        <v>1605</v>
      </c>
      <c r="I20" s="4">
        <v>1909</v>
      </c>
      <c r="J20" s="4">
        <v>1436</v>
      </c>
      <c r="K20" s="4">
        <v>1580</v>
      </c>
      <c r="L20" s="4">
        <v>2535</v>
      </c>
      <c r="M20" s="4">
        <v>1492</v>
      </c>
      <c r="N20" s="4">
        <v>1464</v>
      </c>
      <c r="O20" s="4">
        <v>3046</v>
      </c>
      <c r="P20" s="11">
        <f t="shared" si="5"/>
        <v>21569</v>
      </c>
    </row>
    <row r="21" spans="1:16" ht="20.100000000000001" customHeight="1" x14ac:dyDescent="0.15">
      <c r="A21" s="201"/>
      <c r="B21" s="212"/>
      <c r="C21" s="1" t="s">
        <v>24</v>
      </c>
      <c r="D21" s="4">
        <v>2044</v>
      </c>
      <c r="E21" s="4">
        <v>1608</v>
      </c>
      <c r="F21" s="4">
        <v>1605</v>
      </c>
      <c r="G21" s="4">
        <v>2785</v>
      </c>
      <c r="H21" s="4">
        <v>2314</v>
      </c>
      <c r="I21" s="4">
        <v>2228</v>
      </c>
      <c r="J21" s="4">
        <v>3244</v>
      </c>
      <c r="K21" s="4">
        <v>2197</v>
      </c>
      <c r="L21" s="4">
        <v>2472</v>
      </c>
      <c r="M21" s="4">
        <v>2356</v>
      </c>
      <c r="N21" s="4">
        <v>1561</v>
      </c>
      <c r="O21" s="4">
        <v>2312</v>
      </c>
      <c r="P21" s="11">
        <f t="shared" si="5"/>
        <v>26726</v>
      </c>
    </row>
    <row r="22" spans="1:16" ht="20.100000000000001" customHeight="1" x14ac:dyDescent="0.15">
      <c r="A22" s="201"/>
      <c r="B22" s="212"/>
      <c r="C22" s="1" t="s">
        <v>28</v>
      </c>
      <c r="D22" s="4">
        <v>813</v>
      </c>
      <c r="E22" s="4">
        <v>496</v>
      </c>
      <c r="F22" s="4">
        <v>339</v>
      </c>
      <c r="G22" s="4">
        <v>326</v>
      </c>
      <c r="H22" s="4">
        <v>690</v>
      </c>
      <c r="I22" s="4">
        <v>402</v>
      </c>
      <c r="J22" s="4">
        <v>640</v>
      </c>
      <c r="K22" s="4">
        <v>589</v>
      </c>
      <c r="L22" s="4">
        <v>498</v>
      </c>
      <c r="M22" s="4">
        <v>413</v>
      </c>
      <c r="N22" s="4">
        <v>1494</v>
      </c>
      <c r="O22" s="4">
        <v>784</v>
      </c>
      <c r="P22" s="11">
        <f t="shared" si="5"/>
        <v>7484</v>
      </c>
    </row>
    <row r="23" spans="1:16" ht="20.100000000000001" customHeight="1" x14ac:dyDescent="0.15">
      <c r="A23" s="201"/>
      <c r="B23" s="212"/>
      <c r="C23" s="1" t="s">
        <v>29</v>
      </c>
      <c r="D23" s="4">
        <v>310</v>
      </c>
      <c r="E23" s="4">
        <v>77</v>
      </c>
      <c r="F23" s="4">
        <v>240</v>
      </c>
      <c r="G23" s="4">
        <v>223</v>
      </c>
      <c r="H23" s="4">
        <v>160</v>
      </c>
      <c r="I23" s="4">
        <v>132</v>
      </c>
      <c r="J23" s="4">
        <v>75</v>
      </c>
      <c r="K23" s="4">
        <v>204</v>
      </c>
      <c r="L23" s="4">
        <v>84</v>
      </c>
      <c r="M23" s="4">
        <v>103</v>
      </c>
      <c r="N23" s="4">
        <v>137</v>
      </c>
      <c r="O23" s="4">
        <v>306</v>
      </c>
      <c r="P23" s="11">
        <f t="shared" si="5"/>
        <v>2051</v>
      </c>
    </row>
    <row r="24" spans="1:16" ht="20.100000000000001" customHeight="1" x14ac:dyDescent="0.15">
      <c r="A24" s="201"/>
      <c r="B24" s="212"/>
      <c r="C24" s="1" t="s">
        <v>34</v>
      </c>
      <c r="D24" s="4">
        <v>468</v>
      </c>
      <c r="E24" s="4">
        <v>640</v>
      </c>
      <c r="F24" s="4">
        <v>511</v>
      </c>
      <c r="G24" s="4">
        <v>261</v>
      </c>
      <c r="H24" s="4">
        <v>24</v>
      </c>
      <c r="I24" s="4">
        <v>39</v>
      </c>
      <c r="J24" s="4">
        <v>25</v>
      </c>
      <c r="K24" s="4">
        <v>59</v>
      </c>
      <c r="L24" s="4">
        <v>414</v>
      </c>
      <c r="M24" s="4">
        <v>333</v>
      </c>
      <c r="N24" s="4">
        <v>569</v>
      </c>
      <c r="O24" s="4">
        <v>399</v>
      </c>
      <c r="P24" s="11">
        <f t="shared" si="5"/>
        <v>3742</v>
      </c>
    </row>
    <row r="25" spans="1:16" ht="20.100000000000001" customHeight="1" x14ac:dyDescent="0.15">
      <c r="A25" s="201"/>
      <c r="B25" s="212"/>
      <c r="C25" s="1" t="s">
        <v>33</v>
      </c>
      <c r="D25" s="4">
        <v>150</v>
      </c>
      <c r="E25" s="4">
        <v>221</v>
      </c>
      <c r="F25" s="4">
        <v>118</v>
      </c>
      <c r="G25" s="4">
        <v>190</v>
      </c>
      <c r="H25" s="4">
        <v>230</v>
      </c>
      <c r="I25" s="4">
        <v>253</v>
      </c>
      <c r="J25" s="4">
        <v>192</v>
      </c>
      <c r="K25" s="4">
        <v>215</v>
      </c>
      <c r="L25" s="4">
        <v>217</v>
      </c>
      <c r="M25" s="4">
        <v>283</v>
      </c>
      <c r="N25" s="4">
        <v>138</v>
      </c>
      <c r="O25" s="4">
        <v>89</v>
      </c>
      <c r="P25" s="11">
        <f t="shared" si="5"/>
        <v>2296</v>
      </c>
    </row>
    <row r="26" spans="1:16" ht="20.100000000000001" customHeight="1" x14ac:dyDescent="0.15">
      <c r="A26" s="201"/>
      <c r="B26" s="212"/>
      <c r="C26" s="1" t="s">
        <v>31</v>
      </c>
      <c r="D26" s="4">
        <v>284</v>
      </c>
      <c r="E26" s="4">
        <v>67</v>
      </c>
      <c r="F26" s="4">
        <v>218</v>
      </c>
      <c r="G26" s="4">
        <v>159</v>
      </c>
      <c r="H26" s="4">
        <v>12</v>
      </c>
      <c r="I26" s="4">
        <v>34</v>
      </c>
      <c r="J26" s="4">
        <v>47</v>
      </c>
      <c r="K26" s="4">
        <v>138</v>
      </c>
      <c r="L26" s="4">
        <v>271</v>
      </c>
      <c r="M26" s="4">
        <v>117</v>
      </c>
      <c r="N26" s="4">
        <v>251</v>
      </c>
      <c r="O26" s="4">
        <v>433</v>
      </c>
      <c r="P26" s="11">
        <f t="shared" si="5"/>
        <v>2031</v>
      </c>
    </row>
    <row r="27" spans="1:16" ht="20.100000000000001" customHeight="1" x14ac:dyDescent="0.15">
      <c r="A27" s="201"/>
      <c r="B27" s="212"/>
      <c r="C27" s="1" t="s">
        <v>30</v>
      </c>
      <c r="D27" s="4">
        <v>227</v>
      </c>
      <c r="E27" s="4">
        <v>335</v>
      </c>
      <c r="F27" s="4">
        <v>243</v>
      </c>
      <c r="G27" s="4">
        <v>324</v>
      </c>
      <c r="H27" s="4">
        <v>260</v>
      </c>
      <c r="I27" s="4">
        <v>317</v>
      </c>
      <c r="J27" s="4">
        <v>119</v>
      </c>
      <c r="K27" s="4">
        <v>257</v>
      </c>
      <c r="L27" s="4">
        <v>191</v>
      </c>
      <c r="M27" s="4">
        <v>237</v>
      </c>
      <c r="N27" s="4">
        <v>227</v>
      </c>
      <c r="O27" s="4">
        <v>468</v>
      </c>
      <c r="P27" s="11">
        <f t="shared" si="5"/>
        <v>3205</v>
      </c>
    </row>
    <row r="28" spans="1:16" ht="20.100000000000001" customHeight="1" x14ac:dyDescent="0.15">
      <c r="A28" s="201"/>
      <c r="B28" s="212"/>
      <c r="C28" s="1" t="s">
        <v>110</v>
      </c>
      <c r="D28" s="4">
        <v>590</v>
      </c>
      <c r="E28" s="4">
        <v>784</v>
      </c>
      <c r="F28" s="4">
        <v>896</v>
      </c>
      <c r="G28" s="4">
        <v>733</v>
      </c>
      <c r="H28" s="4">
        <v>645</v>
      </c>
      <c r="I28" s="4">
        <v>932</v>
      </c>
      <c r="J28" s="4">
        <v>808</v>
      </c>
      <c r="K28" s="4">
        <v>521</v>
      </c>
      <c r="L28" s="4">
        <v>534</v>
      </c>
      <c r="M28" s="4">
        <v>787</v>
      </c>
      <c r="N28" s="4">
        <v>762</v>
      </c>
      <c r="O28" s="4">
        <v>1083</v>
      </c>
      <c r="P28" s="11">
        <f t="shared" ref="P28:P35" si="6">SUM(D28:O28)</f>
        <v>9075</v>
      </c>
    </row>
    <row r="29" spans="1:16" ht="20.100000000000001" customHeight="1" x14ac:dyDescent="0.15">
      <c r="A29" s="201"/>
      <c r="B29" s="212"/>
      <c r="C29" s="1" t="s">
        <v>27</v>
      </c>
      <c r="D29" s="4">
        <v>1142</v>
      </c>
      <c r="E29" s="4">
        <v>266</v>
      </c>
      <c r="F29" s="4">
        <v>317</v>
      </c>
      <c r="G29" s="4">
        <v>296</v>
      </c>
      <c r="H29" s="4">
        <v>332</v>
      </c>
      <c r="I29" s="4">
        <v>170</v>
      </c>
      <c r="J29" s="4">
        <v>569</v>
      </c>
      <c r="K29" s="4">
        <v>310</v>
      </c>
      <c r="L29" s="4">
        <v>298</v>
      </c>
      <c r="M29" s="4">
        <v>441</v>
      </c>
      <c r="N29" s="4">
        <v>483</v>
      </c>
      <c r="O29" s="4">
        <v>697</v>
      </c>
      <c r="P29" s="11">
        <f t="shared" si="6"/>
        <v>5321</v>
      </c>
    </row>
    <row r="30" spans="1:16" ht="20.100000000000001" customHeight="1" x14ac:dyDescent="0.15">
      <c r="A30" s="201"/>
      <c r="B30" s="212"/>
      <c r="C30" s="1" t="s">
        <v>32</v>
      </c>
      <c r="D30" s="4">
        <v>394</v>
      </c>
      <c r="E30" s="4">
        <v>93</v>
      </c>
      <c r="F30" s="4">
        <v>146</v>
      </c>
      <c r="G30" s="4">
        <v>336</v>
      </c>
      <c r="H30" s="4">
        <v>261</v>
      </c>
      <c r="I30" s="4">
        <v>225</v>
      </c>
      <c r="J30" s="4">
        <v>238</v>
      </c>
      <c r="K30" s="4">
        <v>335</v>
      </c>
      <c r="L30" s="4">
        <v>294</v>
      </c>
      <c r="M30" s="4">
        <v>164</v>
      </c>
      <c r="N30" s="4">
        <v>347</v>
      </c>
      <c r="O30" s="4">
        <v>436</v>
      </c>
      <c r="P30" s="11">
        <f t="shared" si="6"/>
        <v>3269</v>
      </c>
    </row>
    <row r="31" spans="1:16" ht="20.100000000000001" customHeight="1" x14ac:dyDescent="0.15">
      <c r="A31" s="201"/>
      <c r="B31" s="212"/>
      <c r="C31" s="1" t="s">
        <v>50</v>
      </c>
      <c r="D31" s="4"/>
      <c r="E31" s="4">
        <v>116</v>
      </c>
      <c r="F31" s="4">
        <v>25</v>
      </c>
      <c r="G31" s="4">
        <v>53</v>
      </c>
      <c r="H31" s="4">
        <v>18</v>
      </c>
      <c r="I31" s="4"/>
      <c r="J31" s="4">
        <v>0</v>
      </c>
      <c r="K31" s="4">
        <v>6</v>
      </c>
      <c r="L31" s="4">
        <v>7</v>
      </c>
      <c r="M31" s="4">
        <v>7</v>
      </c>
      <c r="N31" s="4">
        <v>19</v>
      </c>
      <c r="O31" s="4"/>
      <c r="P31" s="11">
        <f t="shared" si="6"/>
        <v>251</v>
      </c>
    </row>
    <row r="32" spans="1:16" ht="20.100000000000001" customHeight="1" x14ac:dyDescent="0.15">
      <c r="A32" s="201"/>
      <c r="B32" s="212"/>
      <c r="C32" s="1" t="s">
        <v>98</v>
      </c>
      <c r="D32" s="4">
        <v>447</v>
      </c>
      <c r="E32" s="4">
        <v>858</v>
      </c>
      <c r="F32" s="4">
        <v>854</v>
      </c>
      <c r="G32" s="4">
        <v>801</v>
      </c>
      <c r="H32" s="4">
        <v>467</v>
      </c>
      <c r="I32" s="4"/>
      <c r="J32" s="4">
        <v>287</v>
      </c>
      <c r="K32" s="4">
        <v>0</v>
      </c>
      <c r="L32" s="4">
        <v>204</v>
      </c>
      <c r="M32" s="4"/>
      <c r="N32" s="4">
        <v>356</v>
      </c>
      <c r="O32" s="4">
        <v>246</v>
      </c>
      <c r="P32" s="11">
        <f t="shared" si="6"/>
        <v>4520</v>
      </c>
    </row>
    <row r="33" spans="1:16" ht="20.100000000000001" customHeight="1" x14ac:dyDescent="0.15">
      <c r="A33" s="201"/>
      <c r="B33" s="212"/>
      <c r="C33" s="1" t="s">
        <v>131</v>
      </c>
      <c r="D33" s="4"/>
      <c r="E33" s="4"/>
      <c r="F33" s="4"/>
      <c r="G33" s="4"/>
      <c r="H33" s="4"/>
      <c r="I33" s="4"/>
      <c r="J33" s="4">
        <v>0</v>
      </c>
      <c r="K33" s="4">
        <v>0</v>
      </c>
      <c r="L33" s="4">
        <v>0</v>
      </c>
      <c r="M33" s="4"/>
      <c r="N33" s="4"/>
      <c r="O33" s="4"/>
      <c r="P33" s="11"/>
    </row>
    <row r="34" spans="1:16" ht="20.100000000000001" customHeight="1" x14ac:dyDescent="0.15">
      <c r="A34" s="201"/>
      <c r="B34" s="212"/>
      <c r="C34" s="1" t="s">
        <v>19</v>
      </c>
      <c r="D34" s="4">
        <v>21</v>
      </c>
      <c r="E34" s="4">
        <v>13</v>
      </c>
      <c r="F34" s="4">
        <v>42</v>
      </c>
      <c r="G34" s="4">
        <v>7</v>
      </c>
      <c r="H34" s="4">
        <v>6</v>
      </c>
      <c r="I34" s="4">
        <v>6</v>
      </c>
      <c r="J34" s="4">
        <v>15</v>
      </c>
      <c r="K34" s="4">
        <v>9</v>
      </c>
      <c r="L34" s="4">
        <v>16</v>
      </c>
      <c r="M34" s="4">
        <v>11</v>
      </c>
      <c r="N34" s="4">
        <v>10</v>
      </c>
      <c r="O34" s="4">
        <v>45</v>
      </c>
      <c r="P34" s="11">
        <f t="shared" si="6"/>
        <v>201</v>
      </c>
    </row>
    <row r="35" spans="1:16" ht="20.100000000000001" customHeight="1" x14ac:dyDescent="0.15">
      <c r="A35" s="201"/>
      <c r="B35" s="213"/>
      <c r="C35" s="19" t="s">
        <v>130</v>
      </c>
      <c r="D35" s="20">
        <f t="shared" ref="D35:O35" si="7">SUM(D18:D34)</f>
        <v>14322</v>
      </c>
      <c r="E35" s="20">
        <f t="shared" si="7"/>
        <v>12199</v>
      </c>
      <c r="F35" s="20">
        <f t="shared" si="7"/>
        <v>11535</v>
      </c>
      <c r="G35" s="20">
        <f t="shared" si="7"/>
        <v>16751</v>
      </c>
      <c r="H35" s="20">
        <f t="shared" si="7"/>
        <v>10247</v>
      </c>
      <c r="I35" s="20">
        <f t="shared" si="7"/>
        <v>14066</v>
      </c>
      <c r="J35" s="20">
        <f t="shared" si="7"/>
        <v>10700</v>
      </c>
      <c r="K35" s="20">
        <f t="shared" si="7"/>
        <v>9947</v>
      </c>
      <c r="L35" s="20">
        <f t="shared" si="7"/>
        <v>14870</v>
      </c>
      <c r="M35" s="20">
        <f t="shared" si="7"/>
        <v>13088</v>
      </c>
      <c r="N35" s="20">
        <f t="shared" si="7"/>
        <v>13022</v>
      </c>
      <c r="O35" s="20">
        <f t="shared" si="7"/>
        <v>17410</v>
      </c>
      <c r="P35" s="11">
        <f t="shared" si="6"/>
        <v>158157</v>
      </c>
    </row>
    <row r="36" spans="1:16" ht="20.100000000000001" customHeight="1" x14ac:dyDescent="0.15">
      <c r="A36" s="201"/>
      <c r="B36" s="220" t="s">
        <v>124</v>
      </c>
      <c r="C36" s="1" t="s">
        <v>36</v>
      </c>
      <c r="D36" s="4">
        <v>104</v>
      </c>
      <c r="E36" s="4">
        <v>38</v>
      </c>
      <c r="F36" s="4">
        <v>58</v>
      </c>
      <c r="G36" s="4">
        <v>90</v>
      </c>
      <c r="H36" s="4">
        <v>45</v>
      </c>
      <c r="I36" s="4">
        <v>96</v>
      </c>
      <c r="J36" s="4">
        <v>75</v>
      </c>
      <c r="K36" s="4">
        <v>104</v>
      </c>
      <c r="L36" s="4">
        <v>50</v>
      </c>
      <c r="M36" s="4">
        <v>70</v>
      </c>
      <c r="N36" s="4">
        <v>70</v>
      </c>
      <c r="O36" s="4">
        <v>96</v>
      </c>
      <c r="P36" s="11">
        <f t="shared" ref="P36:P45" si="8">SUM(D36:O36)</f>
        <v>896</v>
      </c>
    </row>
    <row r="37" spans="1:16" ht="20.100000000000001" customHeight="1" x14ac:dyDescent="0.15">
      <c r="A37" s="201"/>
      <c r="B37" s="221"/>
      <c r="C37" s="1" t="s">
        <v>46</v>
      </c>
      <c r="D37" s="4">
        <v>46</v>
      </c>
      <c r="E37" s="4">
        <v>40</v>
      </c>
      <c r="F37" s="4">
        <v>23</v>
      </c>
      <c r="G37" s="4">
        <v>21</v>
      </c>
      <c r="H37" s="4">
        <v>130</v>
      </c>
      <c r="I37" s="4">
        <v>21</v>
      </c>
      <c r="J37" s="4">
        <v>35</v>
      </c>
      <c r="K37" s="4">
        <v>100</v>
      </c>
      <c r="L37" s="4">
        <v>72</v>
      </c>
      <c r="M37" s="4">
        <v>51</v>
      </c>
      <c r="N37" s="4">
        <v>80</v>
      </c>
      <c r="O37" s="4">
        <v>113</v>
      </c>
      <c r="P37" s="11">
        <f t="shared" si="8"/>
        <v>732</v>
      </c>
    </row>
    <row r="38" spans="1:16" ht="20.100000000000001" customHeight="1" x14ac:dyDescent="0.15">
      <c r="A38" s="201"/>
      <c r="B38" s="221"/>
      <c r="C38" s="1" t="s">
        <v>116</v>
      </c>
      <c r="D38" s="4">
        <v>19</v>
      </c>
      <c r="E38" s="4">
        <v>10</v>
      </c>
      <c r="F38" s="4">
        <v>14</v>
      </c>
      <c r="G38" s="4">
        <v>7</v>
      </c>
      <c r="H38" s="4">
        <v>20</v>
      </c>
      <c r="I38" s="4">
        <v>15</v>
      </c>
      <c r="J38" s="4">
        <v>5</v>
      </c>
      <c r="K38" s="4">
        <v>15</v>
      </c>
      <c r="L38" s="4">
        <v>10</v>
      </c>
      <c r="M38" s="4">
        <v>1</v>
      </c>
      <c r="N38" s="4">
        <v>7</v>
      </c>
      <c r="O38" s="4">
        <v>13</v>
      </c>
      <c r="P38" s="11">
        <f t="shared" si="8"/>
        <v>136</v>
      </c>
    </row>
    <row r="39" spans="1:16" ht="20.100000000000001" customHeight="1" x14ac:dyDescent="0.15">
      <c r="A39" s="201"/>
      <c r="B39" s="221"/>
      <c r="C39" s="1" t="s">
        <v>19</v>
      </c>
      <c r="D39" s="4">
        <v>165</v>
      </c>
      <c r="E39" s="4">
        <v>63</v>
      </c>
      <c r="F39" s="4">
        <v>34</v>
      </c>
      <c r="G39" s="4">
        <v>106</v>
      </c>
      <c r="H39" s="4">
        <v>35</v>
      </c>
      <c r="I39" s="4">
        <v>51</v>
      </c>
      <c r="J39" s="4">
        <v>58</v>
      </c>
      <c r="K39" s="4">
        <v>29</v>
      </c>
      <c r="L39" s="4">
        <v>60</v>
      </c>
      <c r="M39" s="4">
        <v>65</v>
      </c>
      <c r="N39" s="4">
        <v>46</v>
      </c>
      <c r="O39" s="4">
        <v>112</v>
      </c>
      <c r="P39" s="11">
        <f t="shared" si="8"/>
        <v>824</v>
      </c>
    </row>
    <row r="40" spans="1:16" ht="20.100000000000001" customHeight="1" x14ac:dyDescent="0.15">
      <c r="A40" s="201"/>
      <c r="B40" s="222"/>
      <c r="C40" s="19" t="s">
        <v>130</v>
      </c>
      <c r="D40" s="20">
        <f t="shared" ref="D40:O40" si="9">SUM(D36:D39)</f>
        <v>334</v>
      </c>
      <c r="E40" s="20">
        <f t="shared" si="9"/>
        <v>151</v>
      </c>
      <c r="F40" s="20">
        <f t="shared" si="9"/>
        <v>129</v>
      </c>
      <c r="G40" s="20">
        <f t="shared" si="9"/>
        <v>224</v>
      </c>
      <c r="H40" s="20">
        <f t="shared" si="9"/>
        <v>230</v>
      </c>
      <c r="I40" s="20">
        <f t="shared" si="9"/>
        <v>183</v>
      </c>
      <c r="J40" s="20">
        <f t="shared" si="9"/>
        <v>173</v>
      </c>
      <c r="K40" s="20">
        <f t="shared" si="9"/>
        <v>248</v>
      </c>
      <c r="L40" s="20">
        <f t="shared" si="9"/>
        <v>192</v>
      </c>
      <c r="M40" s="20">
        <f t="shared" si="9"/>
        <v>187</v>
      </c>
      <c r="N40" s="20">
        <f t="shared" si="9"/>
        <v>203</v>
      </c>
      <c r="O40" s="20">
        <f t="shared" si="9"/>
        <v>334</v>
      </c>
      <c r="P40" s="11">
        <f t="shared" si="8"/>
        <v>2588</v>
      </c>
    </row>
    <row r="41" spans="1:16" ht="20.100000000000001" customHeight="1" x14ac:dyDescent="0.15">
      <c r="A41" s="201"/>
      <c r="B41" s="216" t="s">
        <v>127</v>
      </c>
      <c r="C41" s="217"/>
      <c r="D41" s="4">
        <v>242</v>
      </c>
      <c r="E41" s="4">
        <v>108</v>
      </c>
      <c r="F41" s="4">
        <v>73</v>
      </c>
      <c r="G41" s="4">
        <v>117</v>
      </c>
      <c r="H41" s="4">
        <v>113</v>
      </c>
      <c r="I41" s="4">
        <v>98</v>
      </c>
      <c r="J41" s="4">
        <v>120</v>
      </c>
      <c r="K41" s="4">
        <v>137</v>
      </c>
      <c r="L41" s="4">
        <v>113</v>
      </c>
      <c r="M41" s="4">
        <v>79</v>
      </c>
      <c r="N41" s="4">
        <v>126</v>
      </c>
      <c r="O41" s="4">
        <v>61</v>
      </c>
      <c r="P41" s="11">
        <f t="shared" si="8"/>
        <v>1387</v>
      </c>
    </row>
    <row r="42" spans="1:16" ht="24.75" customHeight="1" x14ac:dyDescent="0.15">
      <c r="A42" s="201"/>
      <c r="B42" s="199" t="s">
        <v>40</v>
      </c>
      <c r="C42" s="199"/>
      <c r="D42" s="6">
        <f>D35+D40+D41</f>
        <v>14898</v>
      </c>
      <c r="E42" s="6">
        <f>E35+E40+E41</f>
        <v>12458</v>
      </c>
      <c r="F42" s="6">
        <f>F35+F40+F41</f>
        <v>11737</v>
      </c>
      <c r="G42" s="6">
        <f>G35+G40+G41</f>
        <v>17092</v>
      </c>
      <c r="H42" s="6">
        <f>H35+H40+H41</f>
        <v>10590</v>
      </c>
      <c r="I42" s="6">
        <f t="shared" ref="I42:O42" si="10">I35+I40+I41</f>
        <v>14347</v>
      </c>
      <c r="J42" s="6">
        <f t="shared" si="10"/>
        <v>10993</v>
      </c>
      <c r="K42" s="6">
        <f>K35+K40+K41</f>
        <v>10332</v>
      </c>
      <c r="L42" s="6">
        <f t="shared" si="10"/>
        <v>15175</v>
      </c>
      <c r="M42" s="6">
        <f t="shared" si="10"/>
        <v>13354</v>
      </c>
      <c r="N42" s="6">
        <f t="shared" si="10"/>
        <v>13351</v>
      </c>
      <c r="O42" s="6">
        <f t="shared" si="10"/>
        <v>17805</v>
      </c>
      <c r="P42" s="13">
        <f t="shared" si="8"/>
        <v>162132</v>
      </c>
    </row>
    <row r="43" spans="1:16" s="2" customFormat="1" ht="26.45" customHeight="1" x14ac:dyDescent="0.15">
      <c r="A43" s="202" t="s">
        <v>41</v>
      </c>
      <c r="B43" s="203"/>
      <c r="C43" s="203"/>
      <c r="D43" s="7">
        <f t="shared" ref="D43:O43" si="11">SUM(D17,D42)</f>
        <v>92381</v>
      </c>
      <c r="E43" s="7">
        <f t="shared" si="11"/>
        <v>76539</v>
      </c>
      <c r="F43" s="7">
        <f t="shared" si="11"/>
        <v>89172</v>
      </c>
      <c r="G43" s="7">
        <f t="shared" si="11"/>
        <v>86301</v>
      </c>
      <c r="H43" s="7">
        <f t="shared" si="11"/>
        <v>86695</v>
      </c>
      <c r="I43" s="7">
        <f t="shared" si="11"/>
        <v>91583</v>
      </c>
      <c r="J43" s="7">
        <f t="shared" si="11"/>
        <v>81765</v>
      </c>
      <c r="K43" s="7">
        <f t="shared" si="11"/>
        <v>64534</v>
      </c>
      <c r="L43" s="7">
        <f t="shared" si="11"/>
        <v>64175</v>
      </c>
      <c r="M43" s="7">
        <f t="shared" si="11"/>
        <v>78416</v>
      </c>
      <c r="N43" s="7">
        <f t="shared" si="11"/>
        <v>92269</v>
      </c>
      <c r="O43" s="7">
        <f t="shared" si="11"/>
        <v>105238</v>
      </c>
      <c r="P43" s="12">
        <f t="shared" si="8"/>
        <v>1009068</v>
      </c>
    </row>
    <row r="44" spans="1:16" ht="19.5" customHeight="1" x14ac:dyDescent="0.15">
      <c r="A44" s="204" t="s">
        <v>43</v>
      </c>
      <c r="B44" s="205"/>
      <c r="C44" s="205"/>
      <c r="D44" s="4">
        <v>32591</v>
      </c>
      <c r="E44" s="4">
        <v>32794</v>
      </c>
      <c r="F44" s="4">
        <v>34856</v>
      </c>
      <c r="G44" s="4">
        <v>32714</v>
      </c>
      <c r="H44" s="4">
        <v>37898</v>
      </c>
      <c r="I44" s="4">
        <v>38280</v>
      </c>
      <c r="J44" s="4">
        <v>39222</v>
      </c>
      <c r="K44" s="4">
        <v>35835</v>
      </c>
      <c r="L44" s="4">
        <v>32124</v>
      </c>
      <c r="M44" s="4">
        <v>29854</v>
      </c>
      <c r="N44" s="4">
        <v>39711</v>
      </c>
      <c r="O44" s="4">
        <v>31984</v>
      </c>
      <c r="P44" s="11">
        <f t="shared" si="8"/>
        <v>417863</v>
      </c>
    </row>
    <row r="45" spans="1:16" ht="20.100000000000001" customHeight="1" x14ac:dyDescent="0.15">
      <c r="A45" s="218" t="s">
        <v>129</v>
      </c>
      <c r="B45" s="219"/>
      <c r="C45" s="217"/>
      <c r="D45" s="16">
        <v>1112</v>
      </c>
      <c r="E45" s="16">
        <v>2984</v>
      </c>
      <c r="F45" s="16">
        <v>479</v>
      </c>
      <c r="G45" s="16">
        <v>912</v>
      </c>
      <c r="H45" s="16">
        <v>2993</v>
      </c>
      <c r="I45" s="16">
        <v>483</v>
      </c>
      <c r="J45" s="16">
        <v>2016</v>
      </c>
      <c r="K45" s="16">
        <v>2427</v>
      </c>
      <c r="L45" s="16">
        <v>1537</v>
      </c>
      <c r="M45" s="16">
        <v>457</v>
      </c>
      <c r="N45" s="16">
        <v>1253</v>
      </c>
      <c r="O45" s="16">
        <v>2593</v>
      </c>
      <c r="P45" s="17">
        <f t="shared" si="8"/>
        <v>19246</v>
      </c>
    </row>
    <row r="46" spans="1:16" s="2" customFormat="1" ht="27.75" customHeight="1" thickBot="1" x14ac:dyDescent="0.2">
      <c r="A46" s="197" t="s">
        <v>42</v>
      </c>
      <c r="B46" s="198"/>
      <c r="C46" s="198"/>
      <c r="D46" s="10">
        <f t="shared" ref="D46:O46" si="12">D43+D44+D45</f>
        <v>126084</v>
      </c>
      <c r="E46" s="10">
        <f t="shared" si="12"/>
        <v>112317</v>
      </c>
      <c r="F46" s="10">
        <f t="shared" si="12"/>
        <v>124507</v>
      </c>
      <c r="G46" s="10">
        <f t="shared" si="12"/>
        <v>119927</v>
      </c>
      <c r="H46" s="10">
        <f t="shared" si="12"/>
        <v>127586</v>
      </c>
      <c r="I46" s="10">
        <f t="shared" si="12"/>
        <v>130346</v>
      </c>
      <c r="J46" s="10">
        <f t="shared" si="12"/>
        <v>123003</v>
      </c>
      <c r="K46" s="10">
        <f t="shared" si="12"/>
        <v>102796</v>
      </c>
      <c r="L46" s="10">
        <f t="shared" si="12"/>
        <v>97836</v>
      </c>
      <c r="M46" s="10">
        <f t="shared" si="12"/>
        <v>108727</v>
      </c>
      <c r="N46" s="10">
        <f t="shared" si="12"/>
        <v>133233</v>
      </c>
      <c r="O46" s="10">
        <f t="shared" si="12"/>
        <v>139815</v>
      </c>
      <c r="P46" s="14">
        <f>SUM(D46:O46)</f>
        <v>1446177</v>
      </c>
    </row>
    <row r="47" spans="1:16" ht="20.100000000000001" customHeight="1" x14ac:dyDescent="0.15"/>
  </sheetData>
  <mergeCells count="17">
    <mergeCell ref="A44:C44"/>
    <mergeCell ref="A45:C45"/>
    <mergeCell ref="A46:C46"/>
    <mergeCell ref="A18:A42"/>
    <mergeCell ref="B18:B35"/>
    <mergeCell ref="B36:B40"/>
    <mergeCell ref="B41:C41"/>
    <mergeCell ref="B42:C42"/>
    <mergeCell ref="A43:C43"/>
    <mergeCell ref="A1:P1"/>
    <mergeCell ref="A2:C2"/>
    <mergeCell ref="A3:A17"/>
    <mergeCell ref="B3:B9"/>
    <mergeCell ref="B10:B14"/>
    <mergeCell ref="B15:C15"/>
    <mergeCell ref="B16:C16"/>
    <mergeCell ref="B17:C17"/>
  </mergeCells>
  <phoneticPr fontId="14" type="noConversion"/>
  <pageMargins left="1.24" right="0.51181102362204722" top="0.72" bottom="0.35433070866141736" header="0.11811023622047245" footer="0.11811023622047245"/>
  <pageSetup paperSize="9" scale="56" fitToWidth="2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P48"/>
  <sheetViews>
    <sheetView workbookViewId="0">
      <pane xSplit="3" ySplit="2" topLeftCell="D33" activePane="bottomRight" state="frozen"/>
      <selection pane="topRight" activeCell="D1" sqref="D1"/>
      <selection pane="bottomLeft" activeCell="A3" sqref="A3"/>
      <selection pane="bottomRight" activeCell="D47" sqref="D47:J47"/>
    </sheetView>
  </sheetViews>
  <sheetFormatPr defaultRowHeight="13.5" x14ac:dyDescent="0.15"/>
  <cols>
    <col min="1" max="1" width="5.21875" customWidth="1"/>
    <col min="2" max="2" width="5.44140625" customWidth="1"/>
    <col min="3" max="3" width="11.44140625" customWidth="1"/>
    <col min="4" max="15" width="13.5546875" customWidth="1"/>
    <col min="16" max="16" width="14.6640625" style="2" customWidth="1"/>
  </cols>
  <sheetData>
    <row r="1" spans="1:16" ht="51" customHeight="1" thickBot="1" x14ac:dyDescent="0.2">
      <c r="A1" s="207" t="s">
        <v>134</v>
      </c>
      <c r="B1" s="208"/>
      <c r="C1" s="208"/>
      <c r="D1" s="208"/>
      <c r="E1" s="208"/>
      <c r="F1" s="208"/>
      <c r="G1" s="208"/>
      <c r="H1" s="208"/>
      <c r="I1" s="208"/>
      <c r="J1" s="208"/>
      <c r="K1" s="208"/>
      <c r="L1" s="208"/>
      <c r="M1" s="208"/>
      <c r="N1" s="208"/>
      <c r="O1" s="208"/>
      <c r="P1" s="208"/>
    </row>
    <row r="2" spans="1:16" ht="25.5" customHeight="1" x14ac:dyDescent="0.15">
      <c r="A2" s="209" t="s">
        <v>13</v>
      </c>
      <c r="B2" s="210"/>
      <c r="C2" s="210"/>
      <c r="D2" s="8" t="s">
        <v>0</v>
      </c>
      <c r="E2" s="8" t="s">
        <v>1</v>
      </c>
      <c r="F2" s="8" t="s">
        <v>2</v>
      </c>
      <c r="G2" s="8" t="s">
        <v>3</v>
      </c>
      <c r="H2" s="8" t="s">
        <v>4</v>
      </c>
      <c r="I2" s="8" t="s">
        <v>5</v>
      </c>
      <c r="J2" s="8" t="s">
        <v>6</v>
      </c>
      <c r="K2" s="8" t="s">
        <v>7</v>
      </c>
      <c r="L2" s="8" t="s">
        <v>8</v>
      </c>
      <c r="M2" s="8" t="s">
        <v>9</v>
      </c>
      <c r="N2" s="8" t="s">
        <v>10</v>
      </c>
      <c r="O2" s="8" t="s">
        <v>11</v>
      </c>
      <c r="P2" s="9" t="s">
        <v>44</v>
      </c>
    </row>
    <row r="3" spans="1:16" ht="19.899999999999999" customHeight="1" x14ac:dyDescent="0.15">
      <c r="A3" s="200" t="s">
        <v>14</v>
      </c>
      <c r="B3" s="206" t="s">
        <v>122</v>
      </c>
      <c r="C3" s="1" t="s">
        <v>16</v>
      </c>
      <c r="D3" s="4">
        <v>60993</v>
      </c>
      <c r="E3" s="4">
        <v>61933</v>
      </c>
      <c r="F3" s="4">
        <v>73398</v>
      </c>
      <c r="G3" s="4">
        <v>73324</v>
      </c>
      <c r="H3" s="4">
        <v>69533</v>
      </c>
      <c r="I3" s="4">
        <v>68610</v>
      </c>
      <c r="J3" s="4">
        <v>73694</v>
      </c>
      <c r="K3" s="4">
        <v>50281</v>
      </c>
      <c r="L3" s="4">
        <v>49591</v>
      </c>
      <c r="M3" s="4">
        <v>41979</v>
      </c>
      <c r="N3" s="4">
        <v>74196</v>
      </c>
      <c r="O3" s="4">
        <v>73051</v>
      </c>
      <c r="P3" s="11">
        <f t="shared" ref="P3:P9" si="0">SUM(D3:O3)</f>
        <v>770583</v>
      </c>
    </row>
    <row r="4" spans="1:16" ht="19.899999999999999" customHeight="1" x14ac:dyDescent="0.15">
      <c r="A4" s="200"/>
      <c r="B4" s="205"/>
      <c r="C4" s="1" t="s">
        <v>17</v>
      </c>
      <c r="D4" s="4">
        <f>2801+4766</f>
        <v>7567</v>
      </c>
      <c r="E4" s="4">
        <f>1118+4860</f>
        <v>5978</v>
      </c>
      <c r="F4" s="4">
        <f>1745+4348</f>
        <v>6093</v>
      </c>
      <c r="G4" s="4">
        <f>1235+4554</f>
        <v>5789</v>
      </c>
      <c r="H4" s="4">
        <f>1776+4354</f>
        <v>6130</v>
      </c>
      <c r="I4" s="4">
        <f>6930+1951</f>
        <v>8881</v>
      </c>
      <c r="J4" s="4">
        <f>4313+2264</f>
        <v>6577</v>
      </c>
      <c r="K4" s="4">
        <f>3630+798</f>
        <v>4428</v>
      </c>
      <c r="L4" s="4">
        <f>3286+1620</f>
        <v>4906</v>
      </c>
      <c r="M4" s="4">
        <f>5717+1548</f>
        <v>7265</v>
      </c>
      <c r="N4" s="4">
        <f>3022+3778</f>
        <v>6800</v>
      </c>
      <c r="O4" s="4">
        <f>5325+1782</f>
        <v>7107</v>
      </c>
      <c r="P4" s="11">
        <f t="shared" si="0"/>
        <v>77521</v>
      </c>
    </row>
    <row r="5" spans="1:16" ht="19.899999999999999" customHeight="1" x14ac:dyDescent="0.15">
      <c r="A5" s="200"/>
      <c r="B5" s="205"/>
      <c r="C5" s="1" t="s">
        <v>18</v>
      </c>
      <c r="D5" s="4">
        <v>5691</v>
      </c>
      <c r="E5" s="4">
        <v>2995</v>
      </c>
      <c r="F5" s="4">
        <v>4234</v>
      </c>
      <c r="G5" s="4">
        <v>5030</v>
      </c>
      <c r="H5" s="4">
        <v>3269</v>
      </c>
      <c r="I5" s="4">
        <v>3449</v>
      </c>
      <c r="J5" s="4">
        <v>4039</v>
      </c>
      <c r="K5" s="4">
        <v>3570</v>
      </c>
      <c r="L5" s="4">
        <v>3256</v>
      </c>
      <c r="M5" s="4">
        <v>3379</v>
      </c>
      <c r="N5" s="4">
        <v>4089</v>
      </c>
      <c r="O5" s="4">
        <v>3634</v>
      </c>
      <c r="P5" s="11">
        <f t="shared" si="0"/>
        <v>46635</v>
      </c>
    </row>
    <row r="6" spans="1:16" ht="19.899999999999999" customHeight="1" x14ac:dyDescent="0.15">
      <c r="A6" s="200"/>
      <c r="B6" s="205"/>
      <c r="C6" s="1" t="s">
        <v>118</v>
      </c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11">
        <f t="shared" si="0"/>
        <v>0</v>
      </c>
    </row>
    <row r="7" spans="1:16" ht="19.899999999999999" customHeight="1" x14ac:dyDescent="0.15">
      <c r="A7" s="200"/>
      <c r="B7" s="205"/>
      <c r="C7" s="1" t="s">
        <v>119</v>
      </c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11">
        <f t="shared" si="0"/>
        <v>0</v>
      </c>
    </row>
    <row r="8" spans="1:16" ht="19.899999999999999" customHeight="1" x14ac:dyDescent="0.15">
      <c r="A8" s="200"/>
      <c r="B8" s="205"/>
      <c r="C8" s="1" t="s">
        <v>19</v>
      </c>
      <c r="D8" s="4">
        <v>162</v>
      </c>
      <c r="E8" s="4">
        <v>34</v>
      </c>
      <c r="F8" s="4">
        <v>86</v>
      </c>
      <c r="G8" s="4">
        <v>49</v>
      </c>
      <c r="H8" s="4">
        <v>20</v>
      </c>
      <c r="I8" s="4">
        <v>261</v>
      </c>
      <c r="J8" s="4">
        <v>244</v>
      </c>
      <c r="K8" s="4">
        <v>42</v>
      </c>
      <c r="L8" s="4">
        <v>147</v>
      </c>
      <c r="M8" s="4">
        <v>0</v>
      </c>
      <c r="N8" s="4">
        <v>35</v>
      </c>
      <c r="O8" s="4">
        <v>9</v>
      </c>
      <c r="P8" s="11">
        <f t="shared" si="0"/>
        <v>1089</v>
      </c>
    </row>
    <row r="9" spans="1:16" ht="19.899999999999999" customHeight="1" x14ac:dyDescent="0.15">
      <c r="A9" s="200"/>
      <c r="B9" s="205"/>
      <c r="C9" s="3" t="s">
        <v>22</v>
      </c>
      <c r="D9" s="5">
        <f t="shared" ref="D9:O9" si="1">SUM(D3:D8)</f>
        <v>74413</v>
      </c>
      <c r="E9" s="5">
        <f t="shared" si="1"/>
        <v>70940</v>
      </c>
      <c r="F9" s="5">
        <f t="shared" si="1"/>
        <v>83811</v>
      </c>
      <c r="G9" s="5">
        <f t="shared" si="1"/>
        <v>84192</v>
      </c>
      <c r="H9" s="5">
        <f t="shared" si="1"/>
        <v>78952</v>
      </c>
      <c r="I9" s="5">
        <f t="shared" si="1"/>
        <v>81201</v>
      </c>
      <c r="J9" s="5">
        <f t="shared" si="1"/>
        <v>84554</v>
      </c>
      <c r="K9" s="5">
        <f t="shared" si="1"/>
        <v>58321</v>
      </c>
      <c r="L9" s="5">
        <f t="shared" si="1"/>
        <v>57900</v>
      </c>
      <c r="M9" s="5">
        <f t="shared" si="1"/>
        <v>52623</v>
      </c>
      <c r="N9" s="5">
        <f t="shared" si="1"/>
        <v>85120</v>
      </c>
      <c r="O9" s="5">
        <f t="shared" si="1"/>
        <v>83801</v>
      </c>
      <c r="P9" s="11">
        <f t="shared" si="0"/>
        <v>895828</v>
      </c>
    </row>
    <row r="10" spans="1:16" ht="19.899999999999999" customHeight="1" x14ac:dyDescent="0.15">
      <c r="A10" s="200"/>
      <c r="B10" s="211" t="s">
        <v>123</v>
      </c>
      <c r="C10" s="15" t="s">
        <v>120</v>
      </c>
      <c r="D10" s="18">
        <v>38</v>
      </c>
      <c r="E10" s="18">
        <v>56</v>
      </c>
      <c r="F10" s="18">
        <v>64</v>
      </c>
      <c r="G10" s="18">
        <v>90</v>
      </c>
      <c r="H10" s="18">
        <v>44</v>
      </c>
      <c r="I10" s="18">
        <v>27</v>
      </c>
      <c r="J10" s="18">
        <v>35</v>
      </c>
      <c r="K10" s="18">
        <v>9</v>
      </c>
      <c r="L10" s="18">
        <v>7</v>
      </c>
      <c r="M10" s="18">
        <v>25</v>
      </c>
      <c r="N10" s="18">
        <v>23</v>
      </c>
      <c r="O10" s="18">
        <v>7</v>
      </c>
      <c r="P10" s="11">
        <f t="shared" ref="P10:P17" si="2">SUM(D10:O10)</f>
        <v>425</v>
      </c>
    </row>
    <row r="11" spans="1:16" ht="19.899999999999999" customHeight="1" x14ac:dyDescent="0.15">
      <c r="A11" s="200"/>
      <c r="B11" s="212"/>
      <c r="C11" s="15" t="s">
        <v>17</v>
      </c>
      <c r="D11" s="18">
        <v>69</v>
      </c>
      <c r="E11" s="18">
        <v>72</v>
      </c>
      <c r="F11" s="18">
        <v>60</v>
      </c>
      <c r="G11" s="18">
        <v>33</v>
      </c>
      <c r="H11" s="18">
        <v>49</v>
      </c>
      <c r="I11" s="18">
        <v>15</v>
      </c>
      <c r="J11" s="18">
        <v>40</v>
      </c>
      <c r="K11" s="18">
        <v>9</v>
      </c>
      <c r="L11" s="18">
        <v>145</v>
      </c>
      <c r="M11" s="18">
        <v>58</v>
      </c>
      <c r="N11" s="18">
        <v>35</v>
      </c>
      <c r="O11" s="18">
        <v>70</v>
      </c>
      <c r="P11" s="11">
        <f t="shared" si="2"/>
        <v>655</v>
      </c>
    </row>
    <row r="12" spans="1:16" ht="19.899999999999999" customHeight="1" x14ac:dyDescent="0.15">
      <c r="A12" s="200"/>
      <c r="B12" s="212"/>
      <c r="C12" s="15" t="s">
        <v>132</v>
      </c>
      <c r="D12" s="18">
        <v>38</v>
      </c>
      <c r="E12" s="18">
        <v>46</v>
      </c>
      <c r="F12" s="18">
        <v>1</v>
      </c>
      <c r="G12" s="18">
        <v>6</v>
      </c>
      <c r="H12" s="18">
        <v>0</v>
      </c>
      <c r="I12" s="18">
        <v>0</v>
      </c>
      <c r="J12" s="18">
        <v>10</v>
      </c>
      <c r="K12" s="18">
        <v>0</v>
      </c>
      <c r="L12" s="18">
        <v>48</v>
      </c>
      <c r="M12" s="18">
        <v>49</v>
      </c>
      <c r="N12" s="18">
        <v>34</v>
      </c>
      <c r="O12" s="18">
        <v>24</v>
      </c>
      <c r="P12" s="11">
        <f t="shared" si="2"/>
        <v>256</v>
      </c>
    </row>
    <row r="13" spans="1:16" ht="19.899999999999999" customHeight="1" x14ac:dyDescent="0.15">
      <c r="A13" s="200"/>
      <c r="B13" s="212"/>
      <c r="C13" s="15" t="s">
        <v>138</v>
      </c>
      <c r="D13" s="18">
        <v>144</v>
      </c>
      <c r="E13" s="18">
        <v>33</v>
      </c>
      <c r="F13" s="18">
        <v>48</v>
      </c>
      <c r="G13" s="18">
        <v>58</v>
      </c>
      <c r="H13" s="18">
        <v>82</v>
      </c>
      <c r="I13" s="18">
        <v>113</v>
      </c>
      <c r="J13" s="18">
        <v>267</v>
      </c>
      <c r="K13" s="18">
        <v>171</v>
      </c>
      <c r="L13" s="18">
        <v>162</v>
      </c>
      <c r="M13" s="18">
        <v>133</v>
      </c>
      <c r="N13" s="18">
        <v>58</v>
      </c>
      <c r="O13" s="18">
        <v>145</v>
      </c>
      <c r="P13" s="11"/>
    </row>
    <row r="14" spans="1:16" ht="19.899999999999999" customHeight="1" x14ac:dyDescent="0.15">
      <c r="A14" s="200"/>
      <c r="B14" s="212"/>
      <c r="C14" s="15" t="s">
        <v>137</v>
      </c>
      <c r="D14" s="18">
        <v>42</v>
      </c>
      <c r="E14" s="18">
        <v>38</v>
      </c>
      <c r="F14" s="18">
        <v>34</v>
      </c>
      <c r="G14" s="18">
        <v>64</v>
      </c>
      <c r="H14" s="18">
        <v>46</v>
      </c>
      <c r="I14" s="18">
        <v>34</v>
      </c>
      <c r="J14" s="18">
        <v>29</v>
      </c>
      <c r="K14" s="18">
        <v>25</v>
      </c>
      <c r="L14" s="18">
        <v>41</v>
      </c>
      <c r="M14" s="18">
        <v>70</v>
      </c>
      <c r="N14" s="18">
        <v>68</v>
      </c>
      <c r="O14" s="18">
        <v>40</v>
      </c>
      <c r="P14" s="11">
        <f t="shared" si="2"/>
        <v>531</v>
      </c>
    </row>
    <row r="15" spans="1:16" ht="19.899999999999999" customHeight="1" x14ac:dyDescent="0.15">
      <c r="A15" s="200"/>
      <c r="B15" s="213"/>
      <c r="C15" s="3" t="s">
        <v>22</v>
      </c>
      <c r="D15" s="5">
        <f t="shared" ref="D15:J15" si="3">SUM(D10:D14)</f>
        <v>331</v>
      </c>
      <c r="E15" s="5">
        <f t="shared" si="3"/>
        <v>245</v>
      </c>
      <c r="F15" s="5">
        <f t="shared" si="3"/>
        <v>207</v>
      </c>
      <c r="G15" s="5">
        <f t="shared" si="3"/>
        <v>251</v>
      </c>
      <c r="H15" s="5">
        <f t="shared" si="3"/>
        <v>221</v>
      </c>
      <c r="I15" s="5">
        <f t="shared" si="3"/>
        <v>189</v>
      </c>
      <c r="J15" s="5">
        <f t="shared" si="3"/>
        <v>381</v>
      </c>
      <c r="K15" s="5">
        <f>SUM(K10:K14)</f>
        <v>214</v>
      </c>
      <c r="L15" s="5">
        <f>SUM(L10:L14)</f>
        <v>403</v>
      </c>
      <c r="M15" s="5">
        <f>SUM(M10:M14)</f>
        <v>335</v>
      </c>
      <c r="N15" s="5">
        <f>SUM(N10:N14)</f>
        <v>218</v>
      </c>
      <c r="O15" s="5">
        <f>SUM(O10:O14)</f>
        <v>286</v>
      </c>
      <c r="P15" s="11">
        <f t="shared" si="2"/>
        <v>3281</v>
      </c>
    </row>
    <row r="16" spans="1:16" ht="19.5" customHeight="1" x14ac:dyDescent="0.15">
      <c r="A16" s="200"/>
      <c r="B16" s="214" t="s">
        <v>20</v>
      </c>
      <c r="C16" s="215"/>
      <c r="D16" s="18">
        <f>349</f>
        <v>349</v>
      </c>
      <c r="E16" s="18">
        <f>39</f>
        <v>39</v>
      </c>
      <c r="F16" s="18">
        <f>146</f>
        <v>146</v>
      </c>
      <c r="G16" s="18">
        <v>166</v>
      </c>
      <c r="H16" s="18">
        <v>191</v>
      </c>
      <c r="I16" s="18">
        <v>447</v>
      </c>
      <c r="J16" s="18">
        <v>171</v>
      </c>
      <c r="K16" s="18">
        <v>88</v>
      </c>
      <c r="L16" s="18">
        <v>127</v>
      </c>
      <c r="M16" s="18">
        <v>234</v>
      </c>
      <c r="N16" s="18">
        <v>241</v>
      </c>
      <c r="O16" s="18">
        <v>149</v>
      </c>
      <c r="P16" s="11">
        <f t="shared" si="2"/>
        <v>2348</v>
      </c>
    </row>
    <row r="17" spans="1:16" ht="19.899999999999999" customHeight="1" x14ac:dyDescent="0.15">
      <c r="A17" s="200"/>
      <c r="B17" s="205" t="s">
        <v>127</v>
      </c>
      <c r="C17" s="205"/>
      <c r="D17" s="4">
        <v>102</v>
      </c>
      <c r="E17" s="4">
        <v>22</v>
      </c>
      <c r="F17" s="4">
        <v>139</v>
      </c>
      <c r="G17" s="4">
        <v>234</v>
      </c>
      <c r="H17" s="4">
        <v>60</v>
      </c>
      <c r="I17" s="4">
        <v>110</v>
      </c>
      <c r="J17" s="4">
        <v>104</v>
      </c>
      <c r="K17" s="4">
        <v>121</v>
      </c>
      <c r="L17" s="4">
        <v>131</v>
      </c>
      <c r="M17" s="4">
        <v>53</v>
      </c>
      <c r="N17" s="4">
        <v>203</v>
      </c>
      <c r="O17" s="4">
        <v>413</v>
      </c>
      <c r="P17" s="11">
        <f t="shared" si="2"/>
        <v>1692</v>
      </c>
    </row>
    <row r="18" spans="1:16" ht="26.45" customHeight="1" x14ac:dyDescent="0.15">
      <c r="A18" s="200"/>
      <c r="B18" s="199" t="s">
        <v>39</v>
      </c>
      <c r="C18" s="199"/>
      <c r="D18" s="6">
        <f t="shared" ref="D18:O18" si="4">D9+D17+D15+D16</f>
        <v>75195</v>
      </c>
      <c r="E18" s="6">
        <f t="shared" si="4"/>
        <v>71246</v>
      </c>
      <c r="F18" s="6">
        <f t="shared" si="4"/>
        <v>84303</v>
      </c>
      <c r="G18" s="6">
        <f t="shared" si="4"/>
        <v>84843</v>
      </c>
      <c r="H18" s="6">
        <f t="shared" si="4"/>
        <v>79424</v>
      </c>
      <c r="I18" s="6">
        <f t="shared" si="4"/>
        <v>81947</v>
      </c>
      <c r="J18" s="6">
        <f t="shared" si="4"/>
        <v>85210</v>
      </c>
      <c r="K18" s="6">
        <f t="shared" si="4"/>
        <v>58744</v>
      </c>
      <c r="L18" s="6">
        <f t="shared" si="4"/>
        <v>58561</v>
      </c>
      <c r="M18" s="6">
        <f t="shared" si="4"/>
        <v>53245</v>
      </c>
      <c r="N18" s="6">
        <f t="shared" si="4"/>
        <v>85782</v>
      </c>
      <c r="O18" s="6">
        <f t="shared" si="4"/>
        <v>84649</v>
      </c>
      <c r="P18" s="13">
        <f t="shared" ref="P18:P28" si="5">SUM(D18:O18)</f>
        <v>903149</v>
      </c>
    </row>
    <row r="19" spans="1:16" ht="19.5" customHeight="1" x14ac:dyDescent="0.15">
      <c r="A19" s="200" t="s">
        <v>21</v>
      </c>
      <c r="B19" s="211" t="s">
        <v>125</v>
      </c>
      <c r="C19" s="1" t="s">
        <v>25</v>
      </c>
      <c r="D19" s="4">
        <v>1748</v>
      </c>
      <c r="E19" s="4">
        <v>3822</v>
      </c>
      <c r="F19" s="4">
        <v>3893</v>
      </c>
      <c r="G19" s="4">
        <v>4258</v>
      </c>
      <c r="H19" s="4">
        <v>4535</v>
      </c>
      <c r="I19" s="4">
        <v>4202</v>
      </c>
      <c r="J19" s="4">
        <v>2853</v>
      </c>
      <c r="K19" s="4">
        <v>3940</v>
      </c>
      <c r="L19" s="4">
        <v>3536</v>
      </c>
      <c r="M19" s="4">
        <v>2296</v>
      </c>
      <c r="N19" s="4">
        <v>5507</v>
      </c>
      <c r="O19" s="4">
        <v>5585</v>
      </c>
      <c r="P19" s="11">
        <f t="shared" si="5"/>
        <v>46175</v>
      </c>
    </row>
    <row r="20" spans="1:16" ht="20.100000000000001" customHeight="1" x14ac:dyDescent="0.15">
      <c r="A20" s="201"/>
      <c r="B20" s="212"/>
      <c r="C20" s="1" t="s">
        <v>26</v>
      </c>
      <c r="D20" s="4">
        <v>2399</v>
      </c>
      <c r="E20" s="4">
        <v>2365</v>
      </c>
      <c r="F20" s="4">
        <v>2593</v>
      </c>
      <c r="G20" s="4">
        <v>2595</v>
      </c>
      <c r="H20" s="4">
        <v>1973</v>
      </c>
      <c r="I20" s="4">
        <v>2569</v>
      </c>
      <c r="J20" s="4">
        <v>2827</v>
      </c>
      <c r="K20" s="4">
        <v>5176</v>
      </c>
      <c r="L20" s="4">
        <v>2383</v>
      </c>
      <c r="M20" s="4">
        <v>2536</v>
      </c>
      <c r="N20" s="4">
        <v>2388</v>
      </c>
      <c r="O20" s="4">
        <v>6326</v>
      </c>
      <c r="P20" s="11">
        <f t="shared" si="5"/>
        <v>36130</v>
      </c>
    </row>
    <row r="21" spans="1:16" ht="20.100000000000001" customHeight="1" x14ac:dyDescent="0.15">
      <c r="A21" s="201"/>
      <c r="B21" s="212"/>
      <c r="C21" s="1" t="s">
        <v>23</v>
      </c>
      <c r="D21" s="4">
        <v>1370</v>
      </c>
      <c r="E21" s="4">
        <v>2643</v>
      </c>
      <c r="F21" s="4">
        <v>2890</v>
      </c>
      <c r="G21" s="4">
        <v>1734</v>
      </c>
      <c r="H21" s="4">
        <v>2628</v>
      </c>
      <c r="I21" s="4">
        <v>2826</v>
      </c>
      <c r="J21" s="4">
        <v>1587</v>
      </c>
      <c r="K21" s="4">
        <v>3050</v>
      </c>
      <c r="L21" s="4">
        <v>2350</v>
      </c>
      <c r="M21" s="4">
        <v>1123</v>
      </c>
      <c r="N21" s="4">
        <v>2620</v>
      </c>
      <c r="O21" s="4">
        <v>3911</v>
      </c>
      <c r="P21" s="11">
        <f t="shared" si="5"/>
        <v>28732</v>
      </c>
    </row>
    <row r="22" spans="1:16" ht="20.100000000000001" customHeight="1" x14ac:dyDescent="0.15">
      <c r="A22" s="201"/>
      <c r="B22" s="212"/>
      <c r="C22" s="1" t="s">
        <v>24</v>
      </c>
      <c r="D22" s="4">
        <v>834</v>
      </c>
      <c r="E22" s="4">
        <v>2029</v>
      </c>
      <c r="F22" s="4">
        <v>3214</v>
      </c>
      <c r="G22" s="4">
        <v>2688</v>
      </c>
      <c r="H22" s="4">
        <v>2815</v>
      </c>
      <c r="I22" s="4">
        <v>2230</v>
      </c>
      <c r="J22" s="4">
        <v>2287</v>
      </c>
      <c r="K22" s="4">
        <v>2661</v>
      </c>
      <c r="L22" s="4">
        <v>1832</v>
      </c>
      <c r="M22" s="4">
        <v>2088</v>
      </c>
      <c r="N22" s="4">
        <v>3241</v>
      </c>
      <c r="O22" s="4">
        <v>5264</v>
      </c>
      <c r="P22" s="11">
        <f t="shared" si="5"/>
        <v>31183</v>
      </c>
    </row>
    <row r="23" spans="1:16" ht="20.100000000000001" customHeight="1" x14ac:dyDescent="0.15">
      <c r="A23" s="201"/>
      <c r="B23" s="212"/>
      <c r="C23" s="1" t="s">
        <v>28</v>
      </c>
      <c r="D23" s="4">
        <v>846</v>
      </c>
      <c r="E23" s="4">
        <v>1006</v>
      </c>
      <c r="F23" s="4">
        <v>780</v>
      </c>
      <c r="G23" s="4">
        <v>496</v>
      </c>
      <c r="H23" s="4">
        <v>403</v>
      </c>
      <c r="I23" s="4">
        <v>395</v>
      </c>
      <c r="J23" s="4">
        <v>730</v>
      </c>
      <c r="K23" s="4">
        <v>288</v>
      </c>
      <c r="L23" s="4">
        <v>692</v>
      </c>
      <c r="M23" s="4">
        <v>1016</v>
      </c>
      <c r="N23" s="4">
        <v>879</v>
      </c>
      <c r="O23" s="4">
        <v>589</v>
      </c>
      <c r="P23" s="11">
        <f t="shared" si="5"/>
        <v>8120</v>
      </c>
    </row>
    <row r="24" spans="1:16" ht="20.100000000000001" customHeight="1" x14ac:dyDescent="0.15">
      <c r="A24" s="201"/>
      <c r="B24" s="212"/>
      <c r="C24" s="1" t="s">
        <v>29</v>
      </c>
      <c r="D24" s="4">
        <v>109</v>
      </c>
      <c r="E24" s="4">
        <v>236</v>
      </c>
      <c r="F24" s="4">
        <v>141</v>
      </c>
      <c r="G24" s="4">
        <v>276</v>
      </c>
      <c r="H24" s="4">
        <v>132</v>
      </c>
      <c r="I24" s="4">
        <v>148</v>
      </c>
      <c r="J24" s="4">
        <v>42</v>
      </c>
      <c r="K24" s="4">
        <v>185</v>
      </c>
      <c r="L24" s="4">
        <v>190</v>
      </c>
      <c r="M24" s="4">
        <v>204</v>
      </c>
      <c r="N24" s="4">
        <v>139</v>
      </c>
      <c r="O24" s="4">
        <v>369</v>
      </c>
      <c r="P24" s="11">
        <f t="shared" si="5"/>
        <v>2171</v>
      </c>
    </row>
    <row r="25" spans="1:16" ht="20.100000000000001" customHeight="1" x14ac:dyDescent="0.15">
      <c r="A25" s="201"/>
      <c r="B25" s="212"/>
      <c r="C25" s="1" t="s">
        <v>135</v>
      </c>
      <c r="D25" s="4">
        <v>168</v>
      </c>
      <c r="E25" s="4">
        <v>337</v>
      </c>
      <c r="F25" s="4">
        <v>279</v>
      </c>
      <c r="G25" s="4">
        <v>268</v>
      </c>
      <c r="H25" s="4">
        <v>504</v>
      </c>
      <c r="I25" s="4">
        <v>565</v>
      </c>
      <c r="J25" s="4">
        <v>330</v>
      </c>
      <c r="K25" s="4">
        <v>449</v>
      </c>
      <c r="L25" s="4">
        <v>301</v>
      </c>
      <c r="M25" s="4">
        <v>569</v>
      </c>
      <c r="N25" s="4">
        <v>411</v>
      </c>
      <c r="O25" s="4">
        <v>504</v>
      </c>
      <c r="P25" s="11">
        <f t="shared" si="5"/>
        <v>4685</v>
      </c>
    </row>
    <row r="26" spans="1:16" ht="20.100000000000001" customHeight="1" x14ac:dyDescent="0.15">
      <c r="A26" s="201"/>
      <c r="B26" s="212"/>
      <c r="C26" s="1" t="s">
        <v>34</v>
      </c>
      <c r="D26" s="4">
        <v>783</v>
      </c>
      <c r="E26" s="4">
        <v>688</v>
      </c>
      <c r="F26" s="4">
        <v>525</v>
      </c>
      <c r="G26" s="4">
        <v>758</v>
      </c>
      <c r="H26" s="4">
        <v>225</v>
      </c>
      <c r="I26" s="4">
        <v>895</v>
      </c>
      <c r="J26" s="4">
        <v>964</v>
      </c>
      <c r="K26" s="4">
        <v>431</v>
      </c>
      <c r="L26" s="4">
        <v>480</v>
      </c>
      <c r="M26" s="4">
        <v>439</v>
      </c>
      <c r="N26" s="4">
        <v>742</v>
      </c>
      <c r="O26" s="4">
        <v>1074</v>
      </c>
      <c r="P26" s="11">
        <f t="shared" si="5"/>
        <v>8004</v>
      </c>
    </row>
    <row r="27" spans="1:16" ht="20.100000000000001" customHeight="1" x14ac:dyDescent="0.15">
      <c r="A27" s="201"/>
      <c r="B27" s="212"/>
      <c r="C27" s="1" t="s">
        <v>33</v>
      </c>
      <c r="D27" s="4">
        <v>0</v>
      </c>
      <c r="E27" s="4">
        <v>290</v>
      </c>
      <c r="F27" s="4">
        <v>214</v>
      </c>
      <c r="G27" s="4">
        <v>215</v>
      </c>
      <c r="H27" s="4">
        <v>346</v>
      </c>
      <c r="I27" s="4">
        <v>231</v>
      </c>
      <c r="J27" s="4">
        <v>129</v>
      </c>
      <c r="K27" s="4">
        <v>402</v>
      </c>
      <c r="L27" s="4">
        <v>211</v>
      </c>
      <c r="M27" s="4">
        <v>71</v>
      </c>
      <c r="N27" s="4">
        <v>249</v>
      </c>
      <c r="O27" s="4">
        <v>506</v>
      </c>
      <c r="P27" s="11">
        <f t="shared" si="5"/>
        <v>2864</v>
      </c>
    </row>
    <row r="28" spans="1:16" ht="20.100000000000001" customHeight="1" x14ac:dyDescent="0.15">
      <c r="A28" s="201"/>
      <c r="B28" s="212"/>
      <c r="C28" s="1" t="s">
        <v>31</v>
      </c>
      <c r="D28" s="4">
        <v>202</v>
      </c>
      <c r="E28" s="4">
        <v>339</v>
      </c>
      <c r="F28" s="4">
        <v>133</v>
      </c>
      <c r="G28" s="4">
        <v>254</v>
      </c>
      <c r="H28" s="4">
        <v>147</v>
      </c>
      <c r="I28" s="4">
        <v>248</v>
      </c>
      <c r="J28" s="4">
        <v>415</v>
      </c>
      <c r="K28" s="4">
        <v>194</v>
      </c>
      <c r="L28" s="4">
        <v>208</v>
      </c>
      <c r="M28" s="4">
        <v>294</v>
      </c>
      <c r="N28" s="4">
        <v>261</v>
      </c>
      <c r="O28" s="4">
        <v>307</v>
      </c>
      <c r="P28" s="11">
        <f t="shared" si="5"/>
        <v>3002</v>
      </c>
    </row>
    <row r="29" spans="1:16" ht="20.100000000000001" customHeight="1" x14ac:dyDescent="0.15">
      <c r="A29" s="201"/>
      <c r="B29" s="212"/>
      <c r="C29" s="1" t="s">
        <v>110</v>
      </c>
      <c r="D29" s="4">
        <v>522</v>
      </c>
      <c r="E29" s="4">
        <v>222</v>
      </c>
      <c r="F29" s="4">
        <v>725</v>
      </c>
      <c r="G29" s="4">
        <v>709</v>
      </c>
      <c r="H29" s="4">
        <v>1024</v>
      </c>
      <c r="I29" s="4">
        <v>906</v>
      </c>
      <c r="J29" s="4">
        <v>675</v>
      </c>
      <c r="K29" s="4">
        <v>650</v>
      </c>
      <c r="L29" s="4">
        <v>796</v>
      </c>
      <c r="M29" s="4">
        <v>526</v>
      </c>
      <c r="N29" s="4">
        <v>922</v>
      </c>
      <c r="O29" s="4">
        <v>1451</v>
      </c>
      <c r="P29" s="11">
        <f t="shared" ref="P29:P36" si="6">SUM(D29:O29)</f>
        <v>9128</v>
      </c>
    </row>
    <row r="30" spans="1:16" ht="20.100000000000001" customHeight="1" x14ac:dyDescent="0.15">
      <c r="A30" s="201"/>
      <c r="B30" s="212"/>
      <c r="C30" s="1" t="s">
        <v>27</v>
      </c>
      <c r="D30" s="4">
        <v>202</v>
      </c>
      <c r="E30" s="4">
        <v>120</v>
      </c>
      <c r="F30" s="4">
        <v>160</v>
      </c>
      <c r="G30" s="4">
        <v>458</v>
      </c>
      <c r="H30" s="4">
        <v>373</v>
      </c>
      <c r="I30" s="4">
        <v>299</v>
      </c>
      <c r="J30" s="4">
        <v>470</v>
      </c>
      <c r="K30" s="4">
        <v>1079</v>
      </c>
      <c r="L30" s="4">
        <v>164</v>
      </c>
      <c r="M30" s="4">
        <v>873</v>
      </c>
      <c r="N30" s="4">
        <v>660</v>
      </c>
      <c r="O30" s="4">
        <v>757</v>
      </c>
      <c r="P30" s="11">
        <f t="shared" si="6"/>
        <v>5615</v>
      </c>
    </row>
    <row r="31" spans="1:16" ht="20.100000000000001" customHeight="1" x14ac:dyDescent="0.15">
      <c r="A31" s="201"/>
      <c r="B31" s="212"/>
      <c r="C31" s="1" t="s">
        <v>32</v>
      </c>
      <c r="D31" s="4">
        <v>97</v>
      </c>
      <c r="E31" s="4">
        <v>233</v>
      </c>
      <c r="F31" s="4">
        <v>293</v>
      </c>
      <c r="G31" s="4">
        <v>462</v>
      </c>
      <c r="H31" s="4">
        <v>165</v>
      </c>
      <c r="I31" s="4">
        <v>288</v>
      </c>
      <c r="J31" s="4">
        <v>231</v>
      </c>
      <c r="K31" s="4">
        <v>328</v>
      </c>
      <c r="L31" s="4">
        <v>405</v>
      </c>
      <c r="M31" s="4">
        <v>74</v>
      </c>
      <c r="N31" s="4">
        <v>686</v>
      </c>
      <c r="O31" s="4">
        <v>392</v>
      </c>
      <c r="P31" s="11">
        <f t="shared" si="6"/>
        <v>3654</v>
      </c>
    </row>
    <row r="32" spans="1:16" ht="20.100000000000001" customHeight="1" x14ac:dyDescent="0.15">
      <c r="A32" s="201"/>
      <c r="B32" s="212"/>
      <c r="C32" s="1" t="s">
        <v>50</v>
      </c>
      <c r="D32" s="4">
        <v>0</v>
      </c>
      <c r="E32" s="4"/>
      <c r="F32" s="4"/>
      <c r="G32" s="4">
        <v>83</v>
      </c>
      <c r="H32" s="4">
        <v>62</v>
      </c>
      <c r="I32" s="4">
        <v>20</v>
      </c>
      <c r="J32" s="4">
        <v>2</v>
      </c>
      <c r="K32" s="4">
        <v>40</v>
      </c>
      <c r="L32" s="4">
        <v>45</v>
      </c>
      <c r="M32" s="4">
        <v>21</v>
      </c>
      <c r="N32" s="4">
        <v>1</v>
      </c>
      <c r="O32" s="4">
        <v>95</v>
      </c>
      <c r="P32" s="11">
        <f t="shared" si="6"/>
        <v>369</v>
      </c>
    </row>
    <row r="33" spans="1:16" ht="20.100000000000001" customHeight="1" x14ac:dyDescent="0.15">
      <c r="A33" s="201"/>
      <c r="B33" s="212"/>
      <c r="C33" s="1" t="s">
        <v>98</v>
      </c>
      <c r="D33" s="4">
        <v>377</v>
      </c>
      <c r="E33" s="4">
        <v>359</v>
      </c>
      <c r="F33" s="4">
        <v>377</v>
      </c>
      <c r="G33" s="4">
        <v>336</v>
      </c>
      <c r="H33" s="4">
        <v>280</v>
      </c>
      <c r="I33" s="4">
        <v>155</v>
      </c>
      <c r="J33" s="4">
        <v>283</v>
      </c>
      <c r="K33" s="4">
        <v>315</v>
      </c>
      <c r="L33" s="4">
        <v>0</v>
      </c>
      <c r="M33" s="4">
        <v>217</v>
      </c>
      <c r="N33" s="4">
        <v>327</v>
      </c>
      <c r="O33" s="4">
        <v>246</v>
      </c>
      <c r="P33" s="11">
        <f t="shared" si="6"/>
        <v>3272</v>
      </c>
    </row>
    <row r="34" spans="1:16" ht="20.100000000000001" customHeight="1" x14ac:dyDescent="0.15">
      <c r="A34" s="201"/>
      <c r="B34" s="212"/>
      <c r="C34" s="1" t="s">
        <v>131</v>
      </c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11"/>
    </row>
    <row r="35" spans="1:16" ht="20.100000000000001" customHeight="1" x14ac:dyDescent="0.15">
      <c r="A35" s="201"/>
      <c r="B35" s="212"/>
      <c r="C35" s="1" t="s">
        <v>19</v>
      </c>
      <c r="D35" s="4">
        <v>18</v>
      </c>
      <c r="E35" s="4">
        <v>30</v>
      </c>
      <c r="F35" s="4">
        <v>48</v>
      </c>
      <c r="G35" s="4">
        <v>11</v>
      </c>
      <c r="H35" s="4">
        <v>19</v>
      </c>
      <c r="I35" s="4">
        <v>13</v>
      </c>
      <c r="J35" s="4">
        <v>13</v>
      </c>
      <c r="K35" s="4">
        <v>31</v>
      </c>
      <c r="L35" s="4">
        <v>12</v>
      </c>
      <c r="M35" s="4">
        <v>37</v>
      </c>
      <c r="N35" s="4">
        <v>32</v>
      </c>
      <c r="O35" s="4">
        <v>33</v>
      </c>
      <c r="P35" s="11">
        <f t="shared" si="6"/>
        <v>297</v>
      </c>
    </row>
    <row r="36" spans="1:16" ht="20.100000000000001" customHeight="1" x14ac:dyDescent="0.15">
      <c r="A36" s="201"/>
      <c r="B36" s="213"/>
      <c r="C36" s="19" t="s">
        <v>130</v>
      </c>
      <c r="D36" s="20">
        <f t="shared" ref="D36:O36" si="7">SUM(D19:D35)</f>
        <v>9675</v>
      </c>
      <c r="E36" s="20">
        <f t="shared" si="7"/>
        <v>14719</v>
      </c>
      <c r="F36" s="20">
        <f t="shared" si="7"/>
        <v>16265</v>
      </c>
      <c r="G36" s="20">
        <f t="shared" si="7"/>
        <v>15601</v>
      </c>
      <c r="H36" s="20">
        <f t="shared" si="7"/>
        <v>15631</v>
      </c>
      <c r="I36" s="20">
        <f t="shared" si="7"/>
        <v>15990</v>
      </c>
      <c r="J36" s="20">
        <f t="shared" si="7"/>
        <v>13838</v>
      </c>
      <c r="K36" s="20">
        <f t="shared" si="7"/>
        <v>19219</v>
      </c>
      <c r="L36" s="20">
        <f t="shared" si="7"/>
        <v>13605</v>
      </c>
      <c r="M36" s="20">
        <f t="shared" si="7"/>
        <v>12384</v>
      </c>
      <c r="N36" s="20">
        <f t="shared" si="7"/>
        <v>19065</v>
      </c>
      <c r="O36" s="20">
        <f t="shared" si="7"/>
        <v>27409</v>
      </c>
      <c r="P36" s="11">
        <f t="shared" si="6"/>
        <v>193401</v>
      </c>
    </row>
    <row r="37" spans="1:16" ht="20.100000000000001" customHeight="1" x14ac:dyDescent="0.15">
      <c r="A37" s="201"/>
      <c r="B37" s="220" t="s">
        <v>124</v>
      </c>
      <c r="C37" s="1" t="s">
        <v>36</v>
      </c>
      <c r="D37" s="4">
        <v>48</v>
      </c>
      <c r="E37" s="4">
        <v>22</v>
      </c>
      <c r="F37" s="4">
        <v>126</v>
      </c>
      <c r="G37" s="4">
        <v>122</v>
      </c>
      <c r="H37" s="4">
        <v>25</v>
      </c>
      <c r="I37" s="4">
        <v>66</v>
      </c>
      <c r="J37" s="4">
        <v>93</v>
      </c>
      <c r="K37" s="4">
        <v>106</v>
      </c>
      <c r="L37" s="4">
        <v>128</v>
      </c>
      <c r="M37" s="4">
        <v>92</v>
      </c>
      <c r="N37" s="4">
        <v>132</v>
      </c>
      <c r="O37" s="4">
        <v>46</v>
      </c>
      <c r="P37" s="11">
        <f t="shared" ref="P37:P46" si="8">SUM(D37:O37)</f>
        <v>1006</v>
      </c>
    </row>
    <row r="38" spans="1:16" ht="20.100000000000001" customHeight="1" x14ac:dyDescent="0.15">
      <c r="A38" s="201"/>
      <c r="B38" s="221"/>
      <c r="C38" s="1" t="s">
        <v>46</v>
      </c>
      <c r="D38" s="4">
        <v>6</v>
      </c>
      <c r="E38" s="4">
        <v>56</v>
      </c>
      <c r="F38" s="4">
        <v>79</v>
      </c>
      <c r="G38" s="4">
        <v>115</v>
      </c>
      <c r="H38" s="4">
        <v>129</v>
      </c>
      <c r="I38" s="4">
        <v>124</v>
      </c>
      <c r="J38" s="4">
        <v>66</v>
      </c>
      <c r="K38" s="4">
        <v>67</v>
      </c>
      <c r="L38" s="4">
        <v>122</v>
      </c>
      <c r="M38" s="4">
        <v>264</v>
      </c>
      <c r="N38" s="4">
        <v>259</v>
      </c>
      <c r="O38" s="4">
        <v>85</v>
      </c>
      <c r="P38" s="11">
        <f t="shared" si="8"/>
        <v>1372</v>
      </c>
    </row>
    <row r="39" spans="1:16" ht="20.100000000000001" customHeight="1" x14ac:dyDescent="0.15">
      <c r="A39" s="201"/>
      <c r="B39" s="221"/>
      <c r="C39" s="1" t="s">
        <v>136</v>
      </c>
      <c r="D39" s="4">
        <v>21</v>
      </c>
      <c r="E39" s="4">
        <v>36</v>
      </c>
      <c r="F39" s="4">
        <v>92</v>
      </c>
      <c r="G39" s="4">
        <v>100</v>
      </c>
      <c r="H39" s="4">
        <v>101</v>
      </c>
      <c r="I39" s="4">
        <v>105</v>
      </c>
      <c r="J39" s="4">
        <v>131</v>
      </c>
      <c r="K39" s="4">
        <v>129</v>
      </c>
      <c r="L39" s="4">
        <v>107</v>
      </c>
      <c r="M39" s="4">
        <v>132</v>
      </c>
      <c r="N39" s="4">
        <v>165</v>
      </c>
      <c r="O39" s="4">
        <v>280</v>
      </c>
      <c r="P39" s="11">
        <f t="shared" si="8"/>
        <v>1399</v>
      </c>
    </row>
    <row r="40" spans="1:16" ht="20.100000000000001" customHeight="1" x14ac:dyDescent="0.15">
      <c r="A40" s="201"/>
      <c r="B40" s="221"/>
      <c r="C40" s="1" t="s">
        <v>19</v>
      </c>
      <c r="D40" s="4">
        <v>70</v>
      </c>
      <c r="E40" s="4">
        <v>46</v>
      </c>
      <c r="F40" s="4">
        <v>124</v>
      </c>
      <c r="G40" s="4">
        <v>62</v>
      </c>
      <c r="H40" s="4">
        <v>124</v>
      </c>
      <c r="I40" s="4">
        <v>96</v>
      </c>
      <c r="J40" s="4">
        <v>191</v>
      </c>
      <c r="K40" s="4">
        <v>101</v>
      </c>
      <c r="L40" s="4">
        <v>72</v>
      </c>
      <c r="M40" s="4">
        <v>177</v>
      </c>
      <c r="N40" s="4">
        <v>187</v>
      </c>
      <c r="O40" s="4">
        <v>233</v>
      </c>
      <c r="P40" s="11">
        <f t="shared" si="8"/>
        <v>1483</v>
      </c>
    </row>
    <row r="41" spans="1:16" ht="20.100000000000001" customHeight="1" x14ac:dyDescent="0.15">
      <c r="A41" s="201"/>
      <c r="B41" s="222"/>
      <c r="C41" s="19" t="s">
        <v>130</v>
      </c>
      <c r="D41" s="20">
        <f t="shared" ref="D41:O41" si="9">SUM(D37:D40)</f>
        <v>145</v>
      </c>
      <c r="E41" s="20">
        <f t="shared" si="9"/>
        <v>160</v>
      </c>
      <c r="F41" s="20">
        <f t="shared" si="9"/>
        <v>421</v>
      </c>
      <c r="G41" s="20">
        <f t="shared" si="9"/>
        <v>399</v>
      </c>
      <c r="H41" s="20">
        <f t="shared" si="9"/>
        <v>379</v>
      </c>
      <c r="I41" s="20">
        <f t="shared" si="9"/>
        <v>391</v>
      </c>
      <c r="J41" s="20">
        <f t="shared" si="9"/>
        <v>481</v>
      </c>
      <c r="K41" s="20">
        <f t="shared" si="9"/>
        <v>403</v>
      </c>
      <c r="L41" s="20">
        <f t="shared" si="9"/>
        <v>429</v>
      </c>
      <c r="M41" s="20">
        <f t="shared" si="9"/>
        <v>665</v>
      </c>
      <c r="N41" s="20">
        <f t="shared" si="9"/>
        <v>743</v>
      </c>
      <c r="O41" s="20">
        <f t="shared" si="9"/>
        <v>644</v>
      </c>
      <c r="P41" s="11">
        <f t="shared" si="8"/>
        <v>5260</v>
      </c>
    </row>
    <row r="42" spans="1:16" ht="20.100000000000001" customHeight="1" x14ac:dyDescent="0.15">
      <c r="A42" s="201"/>
      <c r="B42" s="216" t="s">
        <v>127</v>
      </c>
      <c r="C42" s="217"/>
      <c r="D42" s="4">
        <v>171</v>
      </c>
      <c r="E42" s="4">
        <v>94</v>
      </c>
      <c r="F42" s="4">
        <v>144</v>
      </c>
      <c r="G42" s="4">
        <v>174</v>
      </c>
      <c r="H42" s="4">
        <v>180</v>
      </c>
      <c r="I42" s="4">
        <v>119</v>
      </c>
      <c r="J42" s="4">
        <v>139</v>
      </c>
      <c r="K42" s="4">
        <v>192</v>
      </c>
      <c r="L42" s="4">
        <v>84</v>
      </c>
      <c r="M42" s="4">
        <v>165</v>
      </c>
      <c r="N42" s="4">
        <v>218</v>
      </c>
      <c r="O42" s="4">
        <v>508</v>
      </c>
      <c r="P42" s="11">
        <f t="shared" si="8"/>
        <v>2188</v>
      </c>
    </row>
    <row r="43" spans="1:16" ht="24.75" customHeight="1" x14ac:dyDescent="0.15">
      <c r="A43" s="201"/>
      <c r="B43" s="199" t="s">
        <v>40</v>
      </c>
      <c r="C43" s="199"/>
      <c r="D43" s="6">
        <f>D36+D41+D42</f>
        <v>9991</v>
      </c>
      <c r="E43" s="6">
        <f>E36+E41+E42</f>
        <v>14973</v>
      </c>
      <c r="F43" s="6">
        <f>F36+F41+F42</f>
        <v>16830</v>
      </c>
      <c r="G43" s="6">
        <f>G36+G41+G42</f>
        <v>16174</v>
      </c>
      <c r="H43" s="6">
        <f>H36+H41+H42</f>
        <v>16190</v>
      </c>
      <c r="I43" s="6">
        <f t="shared" ref="I43:O43" si="10">I36+I41+I42</f>
        <v>16500</v>
      </c>
      <c r="J43" s="6">
        <f t="shared" si="10"/>
        <v>14458</v>
      </c>
      <c r="K43" s="6">
        <f>K36+K41+K42</f>
        <v>19814</v>
      </c>
      <c r="L43" s="6">
        <f t="shared" si="10"/>
        <v>14118</v>
      </c>
      <c r="M43" s="6">
        <f t="shared" si="10"/>
        <v>13214</v>
      </c>
      <c r="N43" s="6">
        <f t="shared" si="10"/>
        <v>20026</v>
      </c>
      <c r="O43" s="6">
        <f t="shared" si="10"/>
        <v>28561</v>
      </c>
      <c r="P43" s="13">
        <f t="shared" si="8"/>
        <v>200849</v>
      </c>
    </row>
    <row r="44" spans="1:16" s="2" customFormat="1" ht="26.45" customHeight="1" x14ac:dyDescent="0.15">
      <c r="A44" s="202" t="s">
        <v>41</v>
      </c>
      <c r="B44" s="203"/>
      <c r="C44" s="203"/>
      <c r="D44" s="7">
        <f t="shared" ref="D44:O44" si="11">SUM(D18,D43)</f>
        <v>85186</v>
      </c>
      <c r="E44" s="7">
        <f t="shared" si="11"/>
        <v>86219</v>
      </c>
      <c r="F44" s="7">
        <f t="shared" si="11"/>
        <v>101133</v>
      </c>
      <c r="G44" s="7">
        <f t="shared" si="11"/>
        <v>101017</v>
      </c>
      <c r="H44" s="7">
        <f t="shared" si="11"/>
        <v>95614</v>
      </c>
      <c r="I44" s="7">
        <f t="shared" si="11"/>
        <v>98447</v>
      </c>
      <c r="J44" s="7">
        <f t="shared" si="11"/>
        <v>99668</v>
      </c>
      <c r="K44" s="7">
        <f t="shared" si="11"/>
        <v>78558</v>
      </c>
      <c r="L44" s="7">
        <f t="shared" si="11"/>
        <v>72679</v>
      </c>
      <c r="M44" s="7">
        <f t="shared" si="11"/>
        <v>66459</v>
      </c>
      <c r="N44" s="7">
        <f t="shared" si="11"/>
        <v>105808</v>
      </c>
      <c r="O44" s="7">
        <f t="shared" si="11"/>
        <v>113210</v>
      </c>
      <c r="P44" s="12">
        <f t="shared" si="8"/>
        <v>1103998</v>
      </c>
    </row>
    <row r="45" spans="1:16" ht="19.5" customHeight="1" x14ac:dyDescent="0.15">
      <c r="A45" s="204" t="s">
        <v>43</v>
      </c>
      <c r="B45" s="205"/>
      <c r="C45" s="205"/>
      <c r="D45" s="4">
        <v>31488</v>
      </c>
      <c r="E45" s="4">
        <v>32204</v>
      </c>
      <c r="F45" s="4">
        <v>35108</v>
      </c>
      <c r="G45" s="4">
        <v>36422</v>
      </c>
      <c r="H45" s="4">
        <v>36659</v>
      </c>
      <c r="I45" s="4">
        <v>36616</v>
      </c>
      <c r="J45" s="4">
        <v>28465</v>
      </c>
      <c r="K45" s="4">
        <v>26327</v>
      </c>
      <c r="L45" s="4">
        <v>24287</v>
      </c>
      <c r="M45" s="4">
        <v>34029</v>
      </c>
      <c r="N45" s="4">
        <v>27277</v>
      </c>
      <c r="O45" s="4">
        <v>33156</v>
      </c>
      <c r="P45" s="11">
        <f t="shared" si="8"/>
        <v>382038</v>
      </c>
    </row>
    <row r="46" spans="1:16" ht="20.100000000000001" customHeight="1" x14ac:dyDescent="0.15">
      <c r="A46" s="218" t="s">
        <v>129</v>
      </c>
      <c r="B46" s="219"/>
      <c r="C46" s="217"/>
      <c r="D46" s="16">
        <v>1942</v>
      </c>
      <c r="E46" s="16">
        <v>1019</v>
      </c>
      <c r="F46" s="16">
        <v>2986</v>
      </c>
      <c r="G46" s="16">
        <v>1140</v>
      </c>
      <c r="H46" s="16">
        <v>1621</v>
      </c>
      <c r="I46" s="16">
        <v>1602</v>
      </c>
      <c r="J46" s="16">
        <v>2716</v>
      </c>
      <c r="K46" s="16">
        <v>740</v>
      </c>
      <c r="L46" s="16">
        <v>1312</v>
      </c>
      <c r="M46" s="16">
        <v>1027</v>
      </c>
      <c r="N46" s="16">
        <v>2100</v>
      </c>
      <c r="O46" s="16">
        <v>1539</v>
      </c>
      <c r="P46" s="17">
        <f t="shared" si="8"/>
        <v>19744</v>
      </c>
    </row>
    <row r="47" spans="1:16" s="2" customFormat="1" ht="27.75" customHeight="1" thickBot="1" x14ac:dyDescent="0.2">
      <c r="A47" s="197" t="s">
        <v>42</v>
      </c>
      <c r="B47" s="198"/>
      <c r="C47" s="198"/>
      <c r="D47" s="10">
        <f t="shared" ref="D47:O47" si="12">D44+D45+D46</f>
        <v>118616</v>
      </c>
      <c r="E47" s="10">
        <f t="shared" si="12"/>
        <v>119442</v>
      </c>
      <c r="F47" s="10">
        <f t="shared" si="12"/>
        <v>139227</v>
      </c>
      <c r="G47" s="10">
        <f t="shared" si="12"/>
        <v>138579</v>
      </c>
      <c r="H47" s="10">
        <f t="shared" si="12"/>
        <v>133894</v>
      </c>
      <c r="I47" s="10">
        <f t="shared" si="12"/>
        <v>136665</v>
      </c>
      <c r="J47" s="10">
        <f t="shared" si="12"/>
        <v>130849</v>
      </c>
      <c r="K47" s="10">
        <f t="shared" si="12"/>
        <v>105625</v>
      </c>
      <c r="L47" s="10">
        <f t="shared" si="12"/>
        <v>98278</v>
      </c>
      <c r="M47" s="10">
        <f t="shared" si="12"/>
        <v>101515</v>
      </c>
      <c r="N47" s="10">
        <f t="shared" si="12"/>
        <v>135185</v>
      </c>
      <c r="O47" s="10">
        <f t="shared" si="12"/>
        <v>147905</v>
      </c>
      <c r="P47" s="14">
        <f>SUM(D47:O47)</f>
        <v>1505780</v>
      </c>
    </row>
    <row r="48" spans="1:16" ht="20.100000000000001" customHeight="1" x14ac:dyDescent="0.15"/>
  </sheetData>
  <mergeCells count="17">
    <mergeCell ref="A1:P1"/>
    <mergeCell ref="A2:C2"/>
    <mergeCell ref="A3:A18"/>
    <mergeCell ref="B3:B9"/>
    <mergeCell ref="B10:B15"/>
    <mergeCell ref="B16:C16"/>
    <mergeCell ref="B17:C17"/>
    <mergeCell ref="B18:C18"/>
    <mergeCell ref="A45:C45"/>
    <mergeCell ref="A46:C46"/>
    <mergeCell ref="A47:C47"/>
    <mergeCell ref="A19:A43"/>
    <mergeCell ref="B19:B36"/>
    <mergeCell ref="B37:B41"/>
    <mergeCell ref="B42:C42"/>
    <mergeCell ref="B43:C43"/>
    <mergeCell ref="A44:C44"/>
  </mergeCells>
  <phoneticPr fontId="14" type="noConversion"/>
  <pageMargins left="1.34" right="0.51181102362204722" top="0.72" bottom="0.35433070866141736" header="0.11811023622047245" footer="0.11811023622047245"/>
  <pageSetup paperSize="9" scale="55" fitToWidth="2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P54"/>
  <sheetViews>
    <sheetView workbookViewId="0">
      <pane xSplit="3" ySplit="2" topLeftCell="D3" activePane="bottomRight" state="frozen"/>
      <selection pane="topRight" activeCell="D1" sqref="D1"/>
      <selection pane="bottomLeft" activeCell="A3" sqref="A3"/>
      <selection pane="bottomRight" sqref="A1:P1"/>
    </sheetView>
  </sheetViews>
  <sheetFormatPr defaultRowHeight="13.5" x14ac:dyDescent="0.15"/>
  <cols>
    <col min="1" max="1" width="5.21875" customWidth="1"/>
    <col min="2" max="2" width="5.44140625" customWidth="1"/>
    <col min="3" max="3" width="11.44140625" customWidth="1"/>
    <col min="4" max="15" width="13.5546875" customWidth="1"/>
    <col min="16" max="16" width="14.6640625" style="2" customWidth="1"/>
  </cols>
  <sheetData>
    <row r="1" spans="1:16" ht="51" customHeight="1" thickBot="1" x14ac:dyDescent="0.2">
      <c r="A1" s="207" t="s">
        <v>139</v>
      </c>
      <c r="B1" s="208"/>
      <c r="C1" s="208"/>
      <c r="D1" s="208"/>
      <c r="E1" s="208"/>
      <c r="F1" s="208"/>
      <c r="G1" s="208"/>
      <c r="H1" s="208"/>
      <c r="I1" s="208"/>
      <c r="J1" s="208"/>
      <c r="K1" s="208"/>
      <c r="L1" s="208"/>
      <c r="M1" s="208"/>
      <c r="N1" s="208"/>
      <c r="O1" s="208"/>
      <c r="P1" s="208"/>
    </row>
    <row r="2" spans="1:16" ht="25.5" customHeight="1" x14ac:dyDescent="0.15">
      <c r="A2" s="209" t="s">
        <v>13</v>
      </c>
      <c r="B2" s="210"/>
      <c r="C2" s="210"/>
      <c r="D2" s="8" t="s">
        <v>0</v>
      </c>
      <c r="E2" s="8" t="s">
        <v>1</v>
      </c>
      <c r="F2" s="8" t="s">
        <v>2</v>
      </c>
      <c r="G2" s="8" t="s">
        <v>3</v>
      </c>
      <c r="H2" s="8" t="s">
        <v>4</v>
      </c>
      <c r="I2" s="8" t="s">
        <v>5</v>
      </c>
      <c r="J2" s="8" t="s">
        <v>6</v>
      </c>
      <c r="K2" s="8" t="s">
        <v>7</v>
      </c>
      <c r="L2" s="8" t="s">
        <v>8</v>
      </c>
      <c r="M2" s="8" t="s">
        <v>9</v>
      </c>
      <c r="N2" s="8" t="s">
        <v>10</v>
      </c>
      <c r="O2" s="8" t="s">
        <v>11</v>
      </c>
      <c r="P2" s="9" t="s">
        <v>44</v>
      </c>
    </row>
    <row r="3" spans="1:16" ht="19.899999999999999" customHeight="1" x14ac:dyDescent="0.15">
      <c r="A3" s="200" t="s">
        <v>14</v>
      </c>
      <c r="B3" s="206" t="s">
        <v>122</v>
      </c>
      <c r="C3" s="1" t="s">
        <v>16</v>
      </c>
      <c r="D3" s="4">
        <v>67238</v>
      </c>
      <c r="E3" s="22">
        <v>52029</v>
      </c>
      <c r="F3" s="4">
        <v>68678</v>
      </c>
      <c r="G3" s="4">
        <v>71548</v>
      </c>
      <c r="H3" s="4">
        <v>67127</v>
      </c>
      <c r="I3" s="4">
        <v>70560</v>
      </c>
      <c r="J3" s="4">
        <v>60420</v>
      </c>
      <c r="K3" s="4">
        <v>42580</v>
      </c>
      <c r="L3" s="4">
        <v>56291</v>
      </c>
      <c r="M3" s="4">
        <v>60820</v>
      </c>
      <c r="N3" s="4">
        <v>67269</v>
      </c>
      <c r="O3" s="4">
        <v>65023</v>
      </c>
      <c r="P3" s="11">
        <f t="shared" ref="P3:P9" si="0">SUM(D3:O3)</f>
        <v>749583</v>
      </c>
    </row>
    <row r="4" spans="1:16" ht="19.899999999999999" customHeight="1" x14ac:dyDescent="0.15">
      <c r="A4" s="200"/>
      <c r="B4" s="205"/>
      <c r="C4" s="1" t="s">
        <v>17</v>
      </c>
      <c r="D4" s="4">
        <f>2987+2702</f>
        <v>5689</v>
      </c>
      <c r="E4" s="22">
        <f>649+2776</f>
        <v>3425</v>
      </c>
      <c r="F4" s="4">
        <f>4964+189</f>
        <v>5153</v>
      </c>
      <c r="G4" s="4">
        <f>5744+851</f>
        <v>6595</v>
      </c>
      <c r="H4" s="4">
        <f>6023+441</f>
        <v>6464</v>
      </c>
      <c r="I4" s="4">
        <f>4961+578</f>
        <v>5539</v>
      </c>
      <c r="J4" s="4">
        <f>5392+125</f>
        <v>5517</v>
      </c>
      <c r="K4" s="4">
        <f>4649+1190</f>
        <v>5839</v>
      </c>
      <c r="L4" s="4">
        <f>4468+1580</f>
        <v>6048</v>
      </c>
      <c r="M4" s="4">
        <f>1309+5691</f>
        <v>7000</v>
      </c>
      <c r="N4" s="4">
        <f>158+7037</f>
        <v>7195</v>
      </c>
      <c r="O4" s="4">
        <f>260+6312</f>
        <v>6572</v>
      </c>
      <c r="P4" s="11">
        <f t="shared" si="0"/>
        <v>71036</v>
      </c>
    </row>
    <row r="5" spans="1:16" ht="19.899999999999999" customHeight="1" x14ac:dyDescent="0.15">
      <c r="A5" s="200"/>
      <c r="B5" s="205"/>
      <c r="C5" s="1" t="s">
        <v>18</v>
      </c>
      <c r="D5" s="4">
        <v>4131</v>
      </c>
      <c r="E5" s="22">
        <v>2565</v>
      </c>
      <c r="F5" s="4">
        <v>3666</v>
      </c>
      <c r="G5" s="4">
        <v>4420</v>
      </c>
      <c r="H5" s="4">
        <v>5264</v>
      </c>
      <c r="I5" s="4">
        <v>3061</v>
      </c>
      <c r="J5" s="4">
        <v>3508</v>
      </c>
      <c r="K5" s="4">
        <v>3900</v>
      </c>
      <c r="L5" s="4">
        <v>2891</v>
      </c>
      <c r="M5" s="4">
        <v>3933</v>
      </c>
      <c r="N5" s="4">
        <v>3398</v>
      </c>
      <c r="O5" s="4">
        <v>3128</v>
      </c>
      <c r="P5" s="11">
        <f t="shared" si="0"/>
        <v>43865</v>
      </c>
    </row>
    <row r="6" spans="1:16" ht="19.899999999999999" customHeight="1" x14ac:dyDescent="0.15">
      <c r="A6" s="200"/>
      <c r="B6" s="205"/>
      <c r="C6" s="1" t="s">
        <v>118</v>
      </c>
      <c r="D6" s="4"/>
      <c r="E6" s="22"/>
      <c r="F6" s="4"/>
      <c r="G6" s="4"/>
      <c r="H6" s="4"/>
      <c r="I6" s="4"/>
      <c r="J6" s="4"/>
      <c r="K6" s="4"/>
      <c r="L6" s="4"/>
      <c r="M6" s="4"/>
      <c r="N6" s="4"/>
      <c r="O6" s="4"/>
      <c r="P6" s="11">
        <f t="shared" si="0"/>
        <v>0</v>
      </c>
    </row>
    <row r="7" spans="1:16" ht="19.899999999999999" customHeight="1" x14ac:dyDescent="0.15">
      <c r="A7" s="200"/>
      <c r="B7" s="205"/>
      <c r="C7" s="1" t="s">
        <v>119</v>
      </c>
      <c r="D7" s="4"/>
      <c r="E7" s="22"/>
      <c r="F7" s="4"/>
      <c r="G7" s="4"/>
      <c r="H7" s="4"/>
      <c r="I7" s="4"/>
      <c r="J7" s="4"/>
      <c r="K7" s="4"/>
      <c r="L7" s="4"/>
      <c r="M7" s="4"/>
      <c r="N7" s="4"/>
      <c r="O7" s="4"/>
      <c r="P7" s="11">
        <f t="shared" si="0"/>
        <v>0</v>
      </c>
    </row>
    <row r="8" spans="1:16" ht="19.899999999999999" customHeight="1" x14ac:dyDescent="0.15">
      <c r="A8" s="200"/>
      <c r="B8" s="205"/>
      <c r="C8" s="1" t="s">
        <v>19</v>
      </c>
      <c r="D8" s="4">
        <v>10</v>
      </c>
      <c r="E8" s="22">
        <v>132</v>
      </c>
      <c r="F8" s="4">
        <v>21</v>
      </c>
      <c r="G8" s="4">
        <v>120</v>
      </c>
      <c r="H8" s="4">
        <v>1</v>
      </c>
      <c r="I8" s="4">
        <v>69</v>
      </c>
      <c r="J8" s="4">
        <v>34</v>
      </c>
      <c r="K8" s="4">
        <v>4</v>
      </c>
      <c r="L8" s="4">
        <v>205</v>
      </c>
      <c r="M8" s="4">
        <v>25</v>
      </c>
      <c r="N8" s="4">
        <v>133</v>
      </c>
      <c r="O8" s="4">
        <v>741</v>
      </c>
      <c r="P8" s="11">
        <f t="shared" si="0"/>
        <v>1495</v>
      </c>
    </row>
    <row r="9" spans="1:16" ht="19.899999999999999" customHeight="1" x14ac:dyDescent="0.15">
      <c r="A9" s="200"/>
      <c r="B9" s="205"/>
      <c r="C9" s="3" t="s">
        <v>22</v>
      </c>
      <c r="D9" s="5">
        <f t="shared" ref="D9:O9" si="1">SUM(D3:D8)</f>
        <v>77068</v>
      </c>
      <c r="E9" s="23">
        <f t="shared" si="1"/>
        <v>58151</v>
      </c>
      <c r="F9" s="5">
        <f t="shared" si="1"/>
        <v>77518</v>
      </c>
      <c r="G9" s="5">
        <f t="shared" si="1"/>
        <v>82683</v>
      </c>
      <c r="H9" s="5">
        <f t="shared" si="1"/>
        <v>78856</v>
      </c>
      <c r="I9" s="5">
        <f t="shared" si="1"/>
        <v>79229</v>
      </c>
      <c r="J9" s="5">
        <f t="shared" si="1"/>
        <v>69479</v>
      </c>
      <c r="K9" s="5">
        <f t="shared" si="1"/>
        <v>52323</v>
      </c>
      <c r="L9" s="5">
        <f t="shared" si="1"/>
        <v>65435</v>
      </c>
      <c r="M9" s="5">
        <f t="shared" si="1"/>
        <v>71778</v>
      </c>
      <c r="N9" s="5">
        <f t="shared" si="1"/>
        <v>77995</v>
      </c>
      <c r="O9" s="5">
        <f t="shared" si="1"/>
        <v>75464</v>
      </c>
      <c r="P9" s="11">
        <f t="shared" si="0"/>
        <v>865979</v>
      </c>
    </row>
    <row r="10" spans="1:16" ht="19.899999999999999" customHeight="1" x14ac:dyDescent="0.15">
      <c r="A10" s="200"/>
      <c r="B10" s="211" t="s">
        <v>123</v>
      </c>
      <c r="C10" s="15" t="s">
        <v>120</v>
      </c>
      <c r="D10" s="18">
        <v>31</v>
      </c>
      <c r="E10" s="22">
        <v>29</v>
      </c>
      <c r="F10" s="18">
        <v>28</v>
      </c>
      <c r="G10" s="18">
        <v>41</v>
      </c>
      <c r="H10" s="18">
        <v>4</v>
      </c>
      <c r="I10" s="18">
        <v>14</v>
      </c>
      <c r="J10" s="18">
        <v>8</v>
      </c>
      <c r="K10" s="18">
        <v>7</v>
      </c>
      <c r="L10" s="18">
        <v>0</v>
      </c>
      <c r="M10" s="18">
        <v>38</v>
      </c>
      <c r="N10" s="18">
        <v>3</v>
      </c>
      <c r="O10" s="18">
        <v>26</v>
      </c>
      <c r="P10" s="11">
        <f t="shared" ref="P10:P17" si="2">SUM(D10:O10)</f>
        <v>229</v>
      </c>
    </row>
    <row r="11" spans="1:16" ht="19.899999999999999" customHeight="1" x14ac:dyDescent="0.15">
      <c r="A11" s="200"/>
      <c r="B11" s="212"/>
      <c r="C11" s="15" t="s">
        <v>17</v>
      </c>
      <c r="D11" s="18"/>
      <c r="E11" s="22">
        <v>18</v>
      </c>
      <c r="F11" s="18">
        <v>84</v>
      </c>
      <c r="G11" s="18">
        <v>126</v>
      </c>
      <c r="H11" s="18">
        <v>63</v>
      </c>
      <c r="I11" s="18">
        <v>13</v>
      </c>
      <c r="J11" s="18">
        <v>4</v>
      </c>
      <c r="K11" s="18">
        <v>14</v>
      </c>
      <c r="L11" s="18">
        <v>4</v>
      </c>
      <c r="M11" s="18">
        <v>45</v>
      </c>
      <c r="N11" s="18">
        <v>64</v>
      </c>
      <c r="O11" s="18">
        <v>129</v>
      </c>
      <c r="P11" s="11">
        <f t="shared" si="2"/>
        <v>564</v>
      </c>
    </row>
    <row r="12" spans="1:16" ht="19.899999999999999" customHeight="1" x14ac:dyDescent="0.15">
      <c r="A12" s="200"/>
      <c r="B12" s="212"/>
      <c r="C12" s="15" t="s">
        <v>132</v>
      </c>
      <c r="D12" s="18"/>
      <c r="E12" s="22">
        <v>88</v>
      </c>
      <c r="F12" s="18">
        <v>64</v>
      </c>
      <c r="G12" s="18">
        <v>8</v>
      </c>
      <c r="H12" s="18">
        <v>11</v>
      </c>
      <c r="I12" s="18">
        <v>13</v>
      </c>
      <c r="J12" s="18">
        <v>5</v>
      </c>
      <c r="K12" s="18">
        <v>0</v>
      </c>
      <c r="L12" s="18">
        <v>0</v>
      </c>
      <c r="M12" s="18">
        <v>4</v>
      </c>
      <c r="N12" s="18">
        <v>16</v>
      </c>
      <c r="O12" s="18">
        <v>7</v>
      </c>
      <c r="P12" s="11">
        <f t="shared" si="2"/>
        <v>216</v>
      </c>
    </row>
    <row r="13" spans="1:16" ht="19.899999999999999" customHeight="1" x14ac:dyDescent="0.15">
      <c r="A13" s="200"/>
      <c r="B13" s="212"/>
      <c r="C13" s="15" t="s">
        <v>138</v>
      </c>
      <c r="D13" s="18">
        <v>53</v>
      </c>
      <c r="E13" s="22">
        <v>96</v>
      </c>
      <c r="F13" s="18">
        <v>195</v>
      </c>
      <c r="G13" s="18">
        <v>59</v>
      </c>
      <c r="H13" s="18">
        <v>80</v>
      </c>
      <c r="I13" s="18">
        <v>85</v>
      </c>
      <c r="J13" s="18">
        <v>161</v>
      </c>
      <c r="K13" s="18">
        <v>99</v>
      </c>
      <c r="L13" s="18">
        <v>85</v>
      </c>
      <c r="M13" s="18">
        <v>39</v>
      </c>
      <c r="N13" s="18">
        <v>211</v>
      </c>
      <c r="O13" s="18">
        <v>247</v>
      </c>
      <c r="P13" s="11">
        <f t="shared" si="2"/>
        <v>1410</v>
      </c>
    </row>
    <row r="14" spans="1:16" ht="19.899999999999999" customHeight="1" x14ac:dyDescent="0.15">
      <c r="A14" s="200"/>
      <c r="B14" s="212"/>
      <c r="C14" s="15" t="s">
        <v>137</v>
      </c>
      <c r="D14" s="18">
        <v>14</v>
      </c>
      <c r="E14" s="22">
        <v>38</v>
      </c>
      <c r="F14" s="18">
        <v>55</v>
      </c>
      <c r="G14" s="18">
        <v>29</v>
      </c>
      <c r="H14" s="18">
        <v>83</v>
      </c>
      <c r="I14" s="18">
        <v>13</v>
      </c>
      <c r="J14" s="18">
        <v>46</v>
      </c>
      <c r="K14" s="18">
        <v>25</v>
      </c>
      <c r="L14" s="18">
        <v>21</v>
      </c>
      <c r="M14" s="18">
        <v>128</v>
      </c>
      <c r="N14" s="18">
        <v>15</v>
      </c>
      <c r="O14" s="18">
        <v>27</v>
      </c>
      <c r="P14" s="11">
        <f t="shared" si="2"/>
        <v>494</v>
      </c>
    </row>
    <row r="15" spans="1:16" ht="19.899999999999999" customHeight="1" x14ac:dyDescent="0.15">
      <c r="A15" s="200"/>
      <c r="B15" s="213"/>
      <c r="C15" s="3" t="s">
        <v>22</v>
      </c>
      <c r="D15" s="5">
        <f t="shared" ref="D15:J15" si="3">SUM(D10:D14)</f>
        <v>98</v>
      </c>
      <c r="E15" s="23">
        <f t="shared" si="3"/>
        <v>269</v>
      </c>
      <c r="F15" s="5">
        <f t="shared" si="3"/>
        <v>426</v>
      </c>
      <c r="G15" s="5">
        <f t="shared" si="3"/>
        <v>263</v>
      </c>
      <c r="H15" s="5">
        <f t="shared" si="3"/>
        <v>241</v>
      </c>
      <c r="I15" s="5">
        <f t="shared" si="3"/>
        <v>138</v>
      </c>
      <c r="J15" s="5">
        <f t="shared" si="3"/>
        <v>224</v>
      </c>
      <c r="K15" s="5">
        <f>SUM(K10:K14)</f>
        <v>145</v>
      </c>
      <c r="L15" s="5">
        <f>SUM(L10:L14)</f>
        <v>110</v>
      </c>
      <c r="M15" s="5">
        <f>SUM(M10:M14)</f>
        <v>254</v>
      </c>
      <c r="N15" s="5">
        <f>SUM(N10:N14)</f>
        <v>309</v>
      </c>
      <c r="O15" s="5">
        <f>SUM(O10:O14)</f>
        <v>436</v>
      </c>
      <c r="P15" s="11">
        <f t="shared" si="2"/>
        <v>2913</v>
      </c>
    </row>
    <row r="16" spans="1:16" ht="19.5" customHeight="1" x14ac:dyDescent="0.15">
      <c r="A16" s="200"/>
      <c r="B16" s="214" t="s">
        <v>20</v>
      </c>
      <c r="C16" s="215"/>
      <c r="D16" s="18">
        <v>163</v>
      </c>
      <c r="E16" s="22">
        <v>177</v>
      </c>
      <c r="F16" s="18">
        <v>354</v>
      </c>
      <c r="G16" s="18">
        <v>177</v>
      </c>
      <c r="H16" s="18">
        <v>299</v>
      </c>
      <c r="I16" s="18">
        <v>272</v>
      </c>
      <c r="J16" s="18">
        <v>241</v>
      </c>
      <c r="K16" s="18">
        <v>304</v>
      </c>
      <c r="L16" s="18">
        <v>334</v>
      </c>
      <c r="M16" s="18">
        <v>650</v>
      </c>
      <c r="N16" s="18">
        <v>367</v>
      </c>
      <c r="O16" s="18">
        <v>151</v>
      </c>
      <c r="P16" s="11">
        <f t="shared" si="2"/>
        <v>3489</v>
      </c>
    </row>
    <row r="17" spans="1:16" ht="19.899999999999999" customHeight="1" x14ac:dyDescent="0.15">
      <c r="A17" s="200"/>
      <c r="B17" s="205" t="s">
        <v>127</v>
      </c>
      <c r="C17" s="205"/>
      <c r="D17" s="4">
        <v>43</v>
      </c>
      <c r="E17" s="22">
        <v>123</v>
      </c>
      <c r="F17" s="4">
        <v>138</v>
      </c>
      <c r="G17" s="4">
        <v>106</v>
      </c>
      <c r="H17" s="4">
        <v>105</v>
      </c>
      <c r="I17" s="4">
        <v>85</v>
      </c>
      <c r="J17" s="4">
        <v>66</v>
      </c>
      <c r="K17" s="4">
        <v>162</v>
      </c>
      <c r="L17" s="4">
        <v>64</v>
      </c>
      <c r="M17" s="4">
        <v>48</v>
      </c>
      <c r="N17" s="4">
        <v>251</v>
      </c>
      <c r="O17" s="4">
        <v>80</v>
      </c>
      <c r="P17" s="11">
        <f t="shared" si="2"/>
        <v>1271</v>
      </c>
    </row>
    <row r="18" spans="1:16" ht="26.45" customHeight="1" x14ac:dyDescent="0.15">
      <c r="A18" s="200"/>
      <c r="B18" s="199" t="s">
        <v>39</v>
      </c>
      <c r="C18" s="199"/>
      <c r="D18" s="6">
        <f t="shared" ref="D18:O18" si="4">D9+D17+D15+D16</f>
        <v>77372</v>
      </c>
      <c r="E18" s="24">
        <f t="shared" si="4"/>
        <v>58720</v>
      </c>
      <c r="F18" s="6">
        <f t="shared" si="4"/>
        <v>78436</v>
      </c>
      <c r="G18" s="6">
        <f t="shared" si="4"/>
        <v>83229</v>
      </c>
      <c r="H18" s="6">
        <f t="shared" si="4"/>
        <v>79501</v>
      </c>
      <c r="I18" s="6">
        <f t="shared" si="4"/>
        <v>79724</v>
      </c>
      <c r="J18" s="6">
        <f t="shared" si="4"/>
        <v>70010</v>
      </c>
      <c r="K18" s="6">
        <f t="shared" si="4"/>
        <v>52934</v>
      </c>
      <c r="L18" s="6">
        <f t="shared" si="4"/>
        <v>65943</v>
      </c>
      <c r="M18" s="6">
        <f t="shared" si="4"/>
        <v>72730</v>
      </c>
      <c r="N18" s="6">
        <f t="shared" si="4"/>
        <v>78922</v>
      </c>
      <c r="O18" s="6">
        <f t="shared" si="4"/>
        <v>76131</v>
      </c>
      <c r="P18" s="13">
        <f t="shared" ref="P18:P28" si="5">SUM(D18:O18)</f>
        <v>873652</v>
      </c>
    </row>
    <row r="19" spans="1:16" ht="19.5" customHeight="1" x14ac:dyDescent="0.15">
      <c r="A19" s="200" t="s">
        <v>21</v>
      </c>
      <c r="B19" s="211" t="s">
        <v>125</v>
      </c>
      <c r="C19" s="1" t="s">
        <v>25</v>
      </c>
      <c r="D19" s="4">
        <v>4035</v>
      </c>
      <c r="E19" s="22">
        <v>5071</v>
      </c>
      <c r="F19" s="4">
        <v>4772</v>
      </c>
      <c r="G19" s="4">
        <v>4928</v>
      </c>
      <c r="H19" s="4">
        <v>2777</v>
      </c>
      <c r="I19" s="4">
        <v>6395</v>
      </c>
      <c r="J19" s="4">
        <v>3645</v>
      </c>
      <c r="K19" s="4">
        <v>3933</v>
      </c>
      <c r="L19" s="4">
        <v>7060</v>
      </c>
      <c r="M19" s="4">
        <v>4107</v>
      </c>
      <c r="N19" s="4">
        <v>5237</v>
      </c>
      <c r="O19" s="4">
        <v>5361</v>
      </c>
      <c r="P19" s="11">
        <f t="shared" si="5"/>
        <v>57321</v>
      </c>
    </row>
    <row r="20" spans="1:16" ht="20.100000000000001" customHeight="1" x14ac:dyDescent="0.15">
      <c r="A20" s="201"/>
      <c r="B20" s="212"/>
      <c r="C20" s="1" t="s">
        <v>26</v>
      </c>
      <c r="D20" s="4">
        <v>1767</v>
      </c>
      <c r="E20" s="22">
        <v>2672</v>
      </c>
      <c r="F20" s="4">
        <v>2814</v>
      </c>
      <c r="G20" s="4">
        <v>5745</v>
      </c>
      <c r="H20" s="4">
        <v>3271</v>
      </c>
      <c r="I20" s="4">
        <v>4641</v>
      </c>
      <c r="J20" s="4">
        <v>2509</v>
      </c>
      <c r="K20" s="4">
        <v>4705</v>
      </c>
      <c r="L20" s="4">
        <v>6571</v>
      </c>
      <c r="M20" s="4">
        <v>2855</v>
      </c>
      <c r="N20" s="4">
        <v>4754</v>
      </c>
      <c r="O20" s="4">
        <v>4989</v>
      </c>
      <c r="P20" s="11">
        <f t="shared" si="5"/>
        <v>47293</v>
      </c>
    </row>
    <row r="21" spans="1:16" ht="20.100000000000001" customHeight="1" x14ac:dyDescent="0.15">
      <c r="A21" s="201"/>
      <c r="B21" s="212"/>
      <c r="C21" s="1" t="s">
        <v>23</v>
      </c>
      <c r="D21" s="4">
        <v>2355</v>
      </c>
      <c r="E21" s="22">
        <v>2199</v>
      </c>
      <c r="F21" s="4">
        <v>1918</v>
      </c>
      <c r="G21" s="4">
        <v>3607</v>
      </c>
      <c r="H21" s="4">
        <v>2174</v>
      </c>
      <c r="I21" s="4">
        <v>2791</v>
      </c>
      <c r="J21" s="4">
        <v>4192</v>
      </c>
      <c r="K21" s="4">
        <v>4513</v>
      </c>
      <c r="L21" s="4">
        <v>3416</v>
      </c>
      <c r="M21" s="4">
        <v>2035</v>
      </c>
      <c r="N21" s="4">
        <v>3337</v>
      </c>
      <c r="O21" s="4">
        <v>3119</v>
      </c>
      <c r="P21" s="11">
        <f t="shared" si="5"/>
        <v>35656</v>
      </c>
    </row>
    <row r="22" spans="1:16" ht="20.100000000000001" customHeight="1" x14ac:dyDescent="0.15">
      <c r="A22" s="201"/>
      <c r="B22" s="212"/>
      <c r="C22" s="1" t="s">
        <v>24</v>
      </c>
      <c r="D22" s="4">
        <v>3073</v>
      </c>
      <c r="E22" s="22">
        <v>3485</v>
      </c>
      <c r="F22" s="4">
        <v>4291</v>
      </c>
      <c r="G22" s="4">
        <v>4202</v>
      </c>
      <c r="H22" s="4">
        <v>2604</v>
      </c>
      <c r="I22" s="4">
        <v>2718</v>
      </c>
      <c r="J22" s="4">
        <v>2836</v>
      </c>
      <c r="K22" s="4">
        <v>3617</v>
      </c>
      <c r="L22" s="4">
        <v>3214</v>
      </c>
      <c r="M22" s="4">
        <v>2168</v>
      </c>
      <c r="N22" s="4">
        <v>2531</v>
      </c>
      <c r="O22" s="4">
        <v>3962</v>
      </c>
      <c r="P22" s="11">
        <f t="shared" si="5"/>
        <v>38701</v>
      </c>
    </row>
    <row r="23" spans="1:16" ht="20.100000000000001" customHeight="1" x14ac:dyDescent="0.15">
      <c r="A23" s="201"/>
      <c r="B23" s="212"/>
      <c r="C23" s="1" t="s">
        <v>28</v>
      </c>
      <c r="D23" s="4">
        <v>1768</v>
      </c>
      <c r="E23" s="22">
        <v>712</v>
      </c>
      <c r="F23" s="4">
        <v>769</v>
      </c>
      <c r="G23" s="4">
        <v>1108</v>
      </c>
      <c r="H23" s="4">
        <v>1557</v>
      </c>
      <c r="I23" s="4">
        <v>436</v>
      </c>
      <c r="J23" s="4">
        <v>297</v>
      </c>
      <c r="K23" s="4">
        <v>315</v>
      </c>
      <c r="L23" s="4">
        <v>647</v>
      </c>
      <c r="M23" s="4">
        <v>892</v>
      </c>
      <c r="N23" s="4">
        <v>745</v>
      </c>
      <c r="O23" s="4">
        <v>1253</v>
      </c>
      <c r="P23" s="11">
        <f t="shared" si="5"/>
        <v>10499</v>
      </c>
    </row>
    <row r="24" spans="1:16" ht="20.100000000000001" customHeight="1" x14ac:dyDescent="0.15">
      <c r="A24" s="201"/>
      <c r="B24" s="212"/>
      <c r="C24" s="1" t="s">
        <v>29</v>
      </c>
      <c r="D24" s="4">
        <v>71</v>
      </c>
      <c r="E24" s="22">
        <v>251</v>
      </c>
      <c r="F24" s="4">
        <v>261</v>
      </c>
      <c r="G24" s="4">
        <v>349</v>
      </c>
      <c r="H24" s="4">
        <v>144</v>
      </c>
      <c r="I24" s="4">
        <v>338</v>
      </c>
      <c r="J24" s="4">
        <v>91</v>
      </c>
      <c r="K24" s="4">
        <v>92</v>
      </c>
      <c r="L24" s="4">
        <v>300</v>
      </c>
      <c r="M24" s="4">
        <v>278</v>
      </c>
      <c r="N24" s="4">
        <v>930</v>
      </c>
      <c r="O24" s="4">
        <v>262</v>
      </c>
      <c r="P24" s="11">
        <f t="shared" si="5"/>
        <v>3367</v>
      </c>
    </row>
    <row r="25" spans="1:16" ht="20.100000000000001" customHeight="1" x14ac:dyDescent="0.15">
      <c r="A25" s="201"/>
      <c r="B25" s="212"/>
      <c r="C25" s="1" t="s">
        <v>30</v>
      </c>
      <c r="D25" s="4">
        <v>340</v>
      </c>
      <c r="E25" s="22">
        <v>788</v>
      </c>
      <c r="F25" s="4">
        <v>464</v>
      </c>
      <c r="G25" s="4">
        <v>461</v>
      </c>
      <c r="H25" s="4">
        <v>255</v>
      </c>
      <c r="I25" s="4">
        <v>1198</v>
      </c>
      <c r="J25" s="4">
        <v>268</v>
      </c>
      <c r="K25" s="4">
        <v>157</v>
      </c>
      <c r="L25" s="4">
        <v>307</v>
      </c>
      <c r="M25" s="4">
        <v>889</v>
      </c>
      <c r="N25" s="4">
        <v>1118</v>
      </c>
      <c r="O25" s="4">
        <v>1704</v>
      </c>
      <c r="P25" s="11">
        <f t="shared" si="5"/>
        <v>7949</v>
      </c>
    </row>
    <row r="26" spans="1:16" ht="20.100000000000001" customHeight="1" x14ac:dyDescent="0.15">
      <c r="A26" s="201"/>
      <c r="B26" s="212"/>
      <c r="C26" s="1" t="s">
        <v>34</v>
      </c>
      <c r="D26" s="4">
        <v>258</v>
      </c>
      <c r="E26" s="22">
        <v>271</v>
      </c>
      <c r="F26" s="4">
        <v>1525</v>
      </c>
      <c r="G26" s="4">
        <v>485</v>
      </c>
      <c r="H26" s="4">
        <v>631</v>
      </c>
      <c r="I26" s="4">
        <v>757</v>
      </c>
      <c r="J26" s="4">
        <v>1044</v>
      </c>
      <c r="K26" s="4">
        <v>292</v>
      </c>
      <c r="L26" s="4">
        <v>421</v>
      </c>
      <c r="M26" s="4">
        <v>1043</v>
      </c>
      <c r="N26" s="4">
        <v>1282</v>
      </c>
      <c r="O26" s="4">
        <v>1517</v>
      </c>
      <c r="P26" s="11">
        <f t="shared" si="5"/>
        <v>9526</v>
      </c>
    </row>
    <row r="27" spans="1:16" ht="20.100000000000001" customHeight="1" x14ac:dyDescent="0.15">
      <c r="A27" s="201"/>
      <c r="B27" s="212"/>
      <c r="C27" s="1" t="s">
        <v>33</v>
      </c>
      <c r="D27" s="4">
        <v>87</v>
      </c>
      <c r="E27" s="22">
        <v>178</v>
      </c>
      <c r="F27" s="4">
        <v>271</v>
      </c>
      <c r="G27" s="4">
        <v>522</v>
      </c>
      <c r="H27" s="4">
        <v>279</v>
      </c>
      <c r="I27" s="4">
        <v>345</v>
      </c>
      <c r="J27" s="4">
        <v>310</v>
      </c>
      <c r="K27" s="4">
        <v>515</v>
      </c>
      <c r="L27" s="4">
        <v>447</v>
      </c>
      <c r="M27" s="4">
        <v>112</v>
      </c>
      <c r="N27" s="4">
        <v>287</v>
      </c>
      <c r="O27" s="4">
        <v>151</v>
      </c>
      <c r="P27" s="11">
        <f t="shared" si="5"/>
        <v>3504</v>
      </c>
    </row>
    <row r="28" spans="1:16" ht="20.100000000000001" customHeight="1" x14ac:dyDescent="0.15">
      <c r="A28" s="201"/>
      <c r="B28" s="212"/>
      <c r="C28" s="1" t="s">
        <v>31</v>
      </c>
      <c r="D28" s="4">
        <v>217</v>
      </c>
      <c r="E28" s="22">
        <v>216</v>
      </c>
      <c r="F28" s="4">
        <v>451</v>
      </c>
      <c r="G28" s="4">
        <v>401</v>
      </c>
      <c r="H28" s="4">
        <v>517</v>
      </c>
      <c r="I28" s="4">
        <v>688</v>
      </c>
      <c r="J28" s="4">
        <v>164</v>
      </c>
      <c r="K28" s="4">
        <v>158</v>
      </c>
      <c r="L28" s="4">
        <v>198</v>
      </c>
      <c r="M28" s="4">
        <v>332</v>
      </c>
      <c r="N28" s="4">
        <v>790</v>
      </c>
      <c r="O28" s="4">
        <v>645</v>
      </c>
      <c r="P28" s="11">
        <f t="shared" si="5"/>
        <v>4777</v>
      </c>
    </row>
    <row r="29" spans="1:16" ht="20.100000000000001" customHeight="1" x14ac:dyDescent="0.15">
      <c r="A29" s="201"/>
      <c r="B29" s="212"/>
      <c r="C29" s="1" t="s">
        <v>110</v>
      </c>
      <c r="D29" s="4">
        <v>786</v>
      </c>
      <c r="E29" s="22">
        <v>833</v>
      </c>
      <c r="F29" s="4">
        <v>835</v>
      </c>
      <c r="G29" s="4">
        <v>718</v>
      </c>
      <c r="H29" s="4">
        <v>602</v>
      </c>
      <c r="I29" s="4">
        <v>1086</v>
      </c>
      <c r="J29" s="4">
        <v>601</v>
      </c>
      <c r="K29" s="4">
        <v>1016</v>
      </c>
      <c r="L29" s="4">
        <v>856</v>
      </c>
      <c r="M29" s="4">
        <v>1015</v>
      </c>
      <c r="N29" s="4">
        <v>760</v>
      </c>
      <c r="O29" s="4">
        <v>1186</v>
      </c>
      <c r="P29" s="11">
        <f t="shared" ref="P29:P36" si="6">SUM(D29:O29)</f>
        <v>10294</v>
      </c>
    </row>
    <row r="30" spans="1:16" ht="20.100000000000001" customHeight="1" x14ac:dyDescent="0.15">
      <c r="A30" s="201"/>
      <c r="B30" s="212"/>
      <c r="C30" s="1" t="s">
        <v>27</v>
      </c>
      <c r="D30" s="4">
        <v>844</v>
      </c>
      <c r="E30" s="22">
        <v>119</v>
      </c>
      <c r="F30" s="4">
        <v>739</v>
      </c>
      <c r="G30" s="4">
        <v>300</v>
      </c>
      <c r="H30" s="4">
        <v>694</v>
      </c>
      <c r="I30" s="4">
        <v>405</v>
      </c>
      <c r="J30" s="4">
        <v>373</v>
      </c>
      <c r="K30" s="4">
        <v>946</v>
      </c>
      <c r="L30" s="4">
        <v>412</v>
      </c>
      <c r="M30" s="4">
        <v>483</v>
      </c>
      <c r="N30" s="4">
        <v>493</v>
      </c>
      <c r="O30" s="4">
        <v>1658</v>
      </c>
      <c r="P30" s="11">
        <f t="shared" si="6"/>
        <v>7466</v>
      </c>
    </row>
    <row r="31" spans="1:16" ht="20.100000000000001" customHeight="1" x14ac:dyDescent="0.15">
      <c r="A31" s="201"/>
      <c r="B31" s="212"/>
      <c r="C31" s="1" t="s">
        <v>32</v>
      </c>
      <c r="D31" s="4">
        <v>518</v>
      </c>
      <c r="E31" s="22">
        <v>608</v>
      </c>
      <c r="F31" s="4">
        <v>775</v>
      </c>
      <c r="G31" s="4">
        <v>824</v>
      </c>
      <c r="H31" s="4">
        <v>1385</v>
      </c>
      <c r="I31" s="4">
        <v>558</v>
      </c>
      <c r="J31" s="4">
        <v>606</v>
      </c>
      <c r="K31" s="4">
        <v>1457</v>
      </c>
      <c r="L31" s="4">
        <v>31</v>
      </c>
      <c r="M31" s="4">
        <v>67</v>
      </c>
      <c r="N31" s="4">
        <v>354</v>
      </c>
      <c r="O31" s="4">
        <v>335</v>
      </c>
      <c r="P31" s="11">
        <f t="shared" si="6"/>
        <v>7518</v>
      </c>
    </row>
    <row r="32" spans="1:16" ht="20.100000000000001" customHeight="1" x14ac:dyDescent="0.15">
      <c r="A32" s="201"/>
      <c r="B32" s="212"/>
      <c r="C32" s="1" t="s">
        <v>50</v>
      </c>
      <c r="D32" s="4">
        <v>115</v>
      </c>
      <c r="E32" s="22">
        <v>66</v>
      </c>
      <c r="F32" s="4">
        <v>0</v>
      </c>
      <c r="G32" s="4">
        <v>0</v>
      </c>
      <c r="H32" s="4">
        <v>96</v>
      </c>
      <c r="I32" s="4">
        <v>124</v>
      </c>
      <c r="J32" s="4">
        <v>126</v>
      </c>
      <c r="K32" s="4">
        <v>1482</v>
      </c>
      <c r="L32" s="4">
        <v>1516</v>
      </c>
      <c r="M32" s="4">
        <v>1612</v>
      </c>
      <c r="N32" s="4">
        <v>765</v>
      </c>
      <c r="O32" s="4">
        <v>2595</v>
      </c>
      <c r="P32" s="11">
        <f t="shared" si="6"/>
        <v>8497</v>
      </c>
    </row>
    <row r="33" spans="1:16" ht="20.100000000000001" customHeight="1" x14ac:dyDescent="0.15">
      <c r="A33" s="201"/>
      <c r="B33" s="212"/>
      <c r="C33" s="1" t="s">
        <v>98</v>
      </c>
      <c r="D33" s="4">
        <v>539</v>
      </c>
      <c r="E33" s="22">
        <v>241</v>
      </c>
      <c r="F33" s="4">
        <v>432</v>
      </c>
      <c r="G33" s="4">
        <v>328</v>
      </c>
      <c r="H33" s="4">
        <v>458</v>
      </c>
      <c r="I33" s="4">
        <v>643</v>
      </c>
      <c r="J33" s="4">
        <v>452</v>
      </c>
      <c r="K33" s="4">
        <v>313</v>
      </c>
      <c r="L33" s="4">
        <v>274</v>
      </c>
      <c r="M33" s="4">
        <v>192</v>
      </c>
      <c r="N33" s="4">
        <v>339</v>
      </c>
      <c r="O33" s="4">
        <v>297</v>
      </c>
      <c r="P33" s="11">
        <f t="shared" si="6"/>
        <v>4508</v>
      </c>
    </row>
    <row r="34" spans="1:16" ht="20.100000000000001" customHeight="1" x14ac:dyDescent="0.15">
      <c r="A34" s="201"/>
      <c r="B34" s="212"/>
      <c r="C34" s="1" t="s">
        <v>131</v>
      </c>
      <c r="D34" s="4"/>
      <c r="E34" s="22"/>
      <c r="F34" s="4"/>
      <c r="G34" s="4"/>
      <c r="H34" s="4"/>
      <c r="I34" s="4"/>
      <c r="J34" s="4"/>
      <c r="K34" s="4"/>
      <c r="L34" s="4"/>
      <c r="M34" s="4"/>
      <c r="N34" s="4"/>
      <c r="O34" s="4"/>
      <c r="P34" s="11">
        <f t="shared" si="6"/>
        <v>0</v>
      </c>
    </row>
    <row r="35" spans="1:16" ht="20.100000000000001" customHeight="1" x14ac:dyDescent="0.15">
      <c r="A35" s="201"/>
      <c r="B35" s="212"/>
      <c r="C35" s="1" t="s">
        <v>19</v>
      </c>
      <c r="D35" s="4">
        <v>54</v>
      </c>
      <c r="E35" s="22">
        <v>9</v>
      </c>
      <c r="F35" s="4">
        <v>48</v>
      </c>
      <c r="G35" s="4">
        <v>25</v>
      </c>
      <c r="H35" s="4">
        <v>81</v>
      </c>
      <c r="I35" s="4">
        <v>111</v>
      </c>
      <c r="J35" s="4">
        <v>145</v>
      </c>
      <c r="K35" s="4">
        <v>114</v>
      </c>
      <c r="L35" s="4">
        <v>309</v>
      </c>
      <c r="M35" s="4">
        <v>72</v>
      </c>
      <c r="N35" s="4">
        <v>299</v>
      </c>
      <c r="O35" s="4">
        <v>255</v>
      </c>
      <c r="P35" s="11">
        <f t="shared" si="6"/>
        <v>1522</v>
      </c>
    </row>
    <row r="36" spans="1:16" ht="20.100000000000001" customHeight="1" x14ac:dyDescent="0.15">
      <c r="A36" s="201"/>
      <c r="B36" s="213"/>
      <c r="C36" s="19" t="s">
        <v>130</v>
      </c>
      <c r="D36" s="20">
        <f t="shared" ref="D36:O36" si="7">SUM(D19:D35)</f>
        <v>16827</v>
      </c>
      <c r="E36" s="25">
        <f t="shared" si="7"/>
        <v>17719</v>
      </c>
      <c r="F36" s="20">
        <f t="shared" si="7"/>
        <v>20365</v>
      </c>
      <c r="G36" s="20">
        <f t="shared" si="7"/>
        <v>24003</v>
      </c>
      <c r="H36" s="20">
        <f t="shared" si="7"/>
        <v>17525</v>
      </c>
      <c r="I36" s="20">
        <f t="shared" si="7"/>
        <v>23234</v>
      </c>
      <c r="J36" s="20">
        <f t="shared" si="7"/>
        <v>17659</v>
      </c>
      <c r="K36" s="20">
        <f t="shared" si="7"/>
        <v>23625</v>
      </c>
      <c r="L36" s="20">
        <f t="shared" si="7"/>
        <v>25979</v>
      </c>
      <c r="M36" s="20">
        <f t="shared" si="7"/>
        <v>18152</v>
      </c>
      <c r="N36" s="20">
        <f t="shared" si="7"/>
        <v>24021</v>
      </c>
      <c r="O36" s="20">
        <f t="shared" si="7"/>
        <v>29289</v>
      </c>
      <c r="P36" s="11">
        <f t="shared" si="6"/>
        <v>258398</v>
      </c>
    </row>
    <row r="37" spans="1:16" ht="20.100000000000001" customHeight="1" x14ac:dyDescent="0.15">
      <c r="A37" s="201"/>
      <c r="B37" s="220" t="s">
        <v>124</v>
      </c>
      <c r="C37" s="1" t="s">
        <v>36</v>
      </c>
      <c r="D37" s="4">
        <v>95</v>
      </c>
      <c r="E37" s="22">
        <v>79</v>
      </c>
      <c r="F37" s="4">
        <v>12</v>
      </c>
      <c r="G37" s="4">
        <v>84</v>
      </c>
      <c r="H37" s="4">
        <v>59</v>
      </c>
      <c r="I37" s="4">
        <v>61</v>
      </c>
      <c r="J37" s="4">
        <v>10</v>
      </c>
      <c r="K37" s="4">
        <v>56</v>
      </c>
      <c r="L37" s="4">
        <v>77</v>
      </c>
      <c r="M37" s="4">
        <v>51</v>
      </c>
      <c r="N37" s="4">
        <v>53</v>
      </c>
      <c r="O37" s="4">
        <v>130</v>
      </c>
      <c r="P37" s="11">
        <f t="shared" ref="P37:P46" si="8">SUM(D37:O37)</f>
        <v>767</v>
      </c>
    </row>
    <row r="38" spans="1:16" ht="20.100000000000001" customHeight="1" x14ac:dyDescent="0.15">
      <c r="A38" s="201"/>
      <c r="B38" s="221"/>
      <c r="C38" s="1" t="s">
        <v>46</v>
      </c>
      <c r="D38" s="4">
        <v>17</v>
      </c>
      <c r="E38" s="22">
        <v>4</v>
      </c>
      <c r="F38" s="4">
        <v>6</v>
      </c>
      <c r="G38" s="4">
        <v>25</v>
      </c>
      <c r="H38" s="4">
        <v>24</v>
      </c>
      <c r="I38" s="4">
        <v>120</v>
      </c>
      <c r="J38" s="4">
        <v>76</v>
      </c>
      <c r="K38" s="4">
        <v>103</v>
      </c>
      <c r="L38" s="4">
        <v>214</v>
      </c>
      <c r="M38" s="4">
        <v>23</v>
      </c>
      <c r="N38" s="4">
        <v>92</v>
      </c>
      <c r="O38" s="4">
        <v>190</v>
      </c>
      <c r="P38" s="11">
        <f t="shared" si="8"/>
        <v>894</v>
      </c>
    </row>
    <row r="39" spans="1:16" ht="20.100000000000001" customHeight="1" x14ac:dyDescent="0.15">
      <c r="A39" s="201"/>
      <c r="B39" s="221"/>
      <c r="C39" s="1" t="s">
        <v>136</v>
      </c>
      <c r="D39" s="4">
        <v>47</v>
      </c>
      <c r="E39" s="22">
        <v>118</v>
      </c>
      <c r="F39" s="4">
        <v>105</v>
      </c>
      <c r="G39" s="4">
        <v>157</v>
      </c>
      <c r="H39" s="4">
        <v>152</v>
      </c>
      <c r="I39" s="4">
        <v>200</v>
      </c>
      <c r="J39" s="4">
        <v>161</v>
      </c>
      <c r="K39" s="4">
        <v>220</v>
      </c>
      <c r="L39" s="4">
        <v>54</v>
      </c>
      <c r="M39" s="4">
        <v>142</v>
      </c>
      <c r="N39" s="4">
        <v>306</v>
      </c>
      <c r="O39" s="4">
        <v>330</v>
      </c>
      <c r="P39" s="11">
        <f t="shared" si="8"/>
        <v>1992</v>
      </c>
    </row>
    <row r="40" spans="1:16" ht="20.100000000000001" customHeight="1" x14ac:dyDescent="0.15">
      <c r="A40" s="201"/>
      <c r="B40" s="221"/>
      <c r="C40" s="1" t="s">
        <v>19</v>
      </c>
      <c r="D40" s="4">
        <v>31</v>
      </c>
      <c r="E40" s="22">
        <v>69</v>
      </c>
      <c r="F40" s="4">
        <v>102</v>
      </c>
      <c r="G40" s="4">
        <v>99</v>
      </c>
      <c r="H40" s="4">
        <v>90</v>
      </c>
      <c r="I40" s="4">
        <v>221</v>
      </c>
      <c r="J40" s="4">
        <v>73</v>
      </c>
      <c r="K40" s="4">
        <v>175</v>
      </c>
      <c r="L40" s="4">
        <v>90</v>
      </c>
      <c r="M40" s="4">
        <v>154</v>
      </c>
      <c r="N40" s="4">
        <v>107</v>
      </c>
      <c r="O40" s="4">
        <v>309</v>
      </c>
      <c r="P40" s="11">
        <f t="shared" si="8"/>
        <v>1520</v>
      </c>
    </row>
    <row r="41" spans="1:16" ht="20.100000000000001" customHeight="1" x14ac:dyDescent="0.15">
      <c r="A41" s="201"/>
      <c r="B41" s="222"/>
      <c r="C41" s="19" t="s">
        <v>130</v>
      </c>
      <c r="D41" s="20">
        <f t="shared" ref="D41:O41" si="9">SUM(D37:D40)</f>
        <v>190</v>
      </c>
      <c r="E41" s="25">
        <f t="shared" si="9"/>
        <v>270</v>
      </c>
      <c r="F41" s="20">
        <f t="shared" si="9"/>
        <v>225</v>
      </c>
      <c r="G41" s="20">
        <f t="shared" si="9"/>
        <v>365</v>
      </c>
      <c r="H41" s="20">
        <f t="shared" si="9"/>
        <v>325</v>
      </c>
      <c r="I41" s="20">
        <f t="shared" si="9"/>
        <v>602</v>
      </c>
      <c r="J41" s="20">
        <f t="shared" si="9"/>
        <v>320</v>
      </c>
      <c r="K41" s="20">
        <f t="shared" si="9"/>
        <v>554</v>
      </c>
      <c r="L41" s="20">
        <f t="shared" si="9"/>
        <v>435</v>
      </c>
      <c r="M41" s="20">
        <f t="shared" si="9"/>
        <v>370</v>
      </c>
      <c r="N41" s="20">
        <f t="shared" si="9"/>
        <v>558</v>
      </c>
      <c r="O41" s="20">
        <f t="shared" si="9"/>
        <v>959</v>
      </c>
      <c r="P41" s="11">
        <f t="shared" si="8"/>
        <v>5173</v>
      </c>
    </row>
    <row r="42" spans="1:16" ht="20.100000000000001" customHeight="1" x14ac:dyDescent="0.15">
      <c r="A42" s="201"/>
      <c r="B42" s="216" t="s">
        <v>127</v>
      </c>
      <c r="C42" s="217"/>
      <c r="D42" s="4">
        <v>120</v>
      </c>
      <c r="E42" s="22">
        <v>72</v>
      </c>
      <c r="F42" s="4">
        <v>228</v>
      </c>
      <c r="G42" s="4">
        <v>235</v>
      </c>
      <c r="H42" s="4">
        <v>330</v>
      </c>
      <c r="I42" s="4">
        <v>255</v>
      </c>
      <c r="J42" s="4">
        <v>264</v>
      </c>
      <c r="K42" s="4">
        <v>464</v>
      </c>
      <c r="L42" s="4">
        <v>200</v>
      </c>
      <c r="M42" s="4">
        <v>275</v>
      </c>
      <c r="N42" s="4">
        <v>222</v>
      </c>
      <c r="O42" s="4">
        <v>260</v>
      </c>
      <c r="P42" s="11">
        <f t="shared" si="8"/>
        <v>2925</v>
      </c>
    </row>
    <row r="43" spans="1:16" ht="24.75" customHeight="1" x14ac:dyDescent="0.15">
      <c r="A43" s="201"/>
      <c r="B43" s="199" t="s">
        <v>40</v>
      </c>
      <c r="C43" s="199"/>
      <c r="D43" s="6">
        <f>D36+D41+D42</f>
        <v>17137</v>
      </c>
      <c r="E43" s="24">
        <f>E36+E41+E42</f>
        <v>18061</v>
      </c>
      <c r="F43" s="6">
        <f>F36+F41+F42</f>
        <v>20818</v>
      </c>
      <c r="G43" s="6">
        <f>G36+G41+G42</f>
        <v>24603</v>
      </c>
      <c r="H43" s="6">
        <f>H36+H41+H42</f>
        <v>18180</v>
      </c>
      <c r="I43" s="6">
        <f t="shared" ref="I43:O43" si="10">I36+I41+I42</f>
        <v>24091</v>
      </c>
      <c r="J43" s="6">
        <f t="shared" si="10"/>
        <v>18243</v>
      </c>
      <c r="K43" s="6">
        <f>K36+K41+K42</f>
        <v>24643</v>
      </c>
      <c r="L43" s="6">
        <f t="shared" si="10"/>
        <v>26614</v>
      </c>
      <c r="M43" s="6">
        <f t="shared" si="10"/>
        <v>18797</v>
      </c>
      <c r="N43" s="6">
        <f t="shared" si="10"/>
        <v>24801</v>
      </c>
      <c r="O43" s="6">
        <f t="shared" si="10"/>
        <v>30508</v>
      </c>
      <c r="P43" s="13">
        <f t="shared" si="8"/>
        <v>266496</v>
      </c>
    </row>
    <row r="44" spans="1:16" s="2" customFormat="1" ht="26.45" customHeight="1" x14ac:dyDescent="0.15">
      <c r="A44" s="202" t="s">
        <v>41</v>
      </c>
      <c r="B44" s="203"/>
      <c r="C44" s="203"/>
      <c r="D44" s="7">
        <f t="shared" ref="D44:O44" si="11">SUM(D18,D43)</f>
        <v>94509</v>
      </c>
      <c r="E44" s="26">
        <f t="shared" si="11"/>
        <v>76781</v>
      </c>
      <c r="F44" s="7">
        <f t="shared" si="11"/>
        <v>99254</v>
      </c>
      <c r="G44" s="7">
        <f t="shared" si="11"/>
        <v>107832</v>
      </c>
      <c r="H44" s="7">
        <f t="shared" si="11"/>
        <v>97681</v>
      </c>
      <c r="I44" s="7">
        <f t="shared" si="11"/>
        <v>103815</v>
      </c>
      <c r="J44" s="7">
        <f t="shared" si="11"/>
        <v>88253</v>
      </c>
      <c r="K44" s="7">
        <f t="shared" si="11"/>
        <v>77577</v>
      </c>
      <c r="L44" s="7">
        <f t="shared" si="11"/>
        <v>92557</v>
      </c>
      <c r="M44" s="7">
        <f t="shared" si="11"/>
        <v>91527</v>
      </c>
      <c r="N44" s="7">
        <f t="shared" si="11"/>
        <v>103723</v>
      </c>
      <c r="O44" s="7">
        <f t="shared" si="11"/>
        <v>106639</v>
      </c>
      <c r="P44" s="12">
        <f t="shared" si="8"/>
        <v>1140148</v>
      </c>
    </row>
    <row r="45" spans="1:16" ht="19.5" customHeight="1" x14ac:dyDescent="0.15">
      <c r="A45" s="204" t="s">
        <v>43</v>
      </c>
      <c r="B45" s="205"/>
      <c r="C45" s="205"/>
      <c r="D45" s="4">
        <v>27967</v>
      </c>
      <c r="E45" s="22">
        <v>26176</v>
      </c>
      <c r="F45" s="4">
        <v>30370</v>
      </c>
      <c r="G45" s="4">
        <v>24201</v>
      </c>
      <c r="H45" s="4">
        <v>34100</v>
      </c>
      <c r="I45" s="4">
        <v>29415</v>
      </c>
      <c r="J45" s="4">
        <v>37719</v>
      </c>
      <c r="K45" s="4">
        <v>22465</v>
      </c>
      <c r="L45" s="4">
        <v>22553</v>
      </c>
      <c r="M45" s="4">
        <v>33252</v>
      </c>
      <c r="N45" s="4">
        <v>26200</v>
      </c>
      <c r="O45" s="4">
        <v>25861</v>
      </c>
      <c r="P45" s="11">
        <f t="shared" si="8"/>
        <v>340279</v>
      </c>
    </row>
    <row r="46" spans="1:16" ht="20.100000000000001" customHeight="1" x14ac:dyDescent="0.15">
      <c r="A46" s="218" t="s">
        <v>129</v>
      </c>
      <c r="B46" s="219"/>
      <c r="C46" s="217"/>
      <c r="D46" s="16">
        <v>1348</v>
      </c>
      <c r="E46" s="22">
        <v>1444</v>
      </c>
      <c r="F46" s="16">
        <v>1791</v>
      </c>
      <c r="G46" s="16">
        <v>1854</v>
      </c>
      <c r="H46" s="16">
        <v>2352</v>
      </c>
      <c r="I46" s="16">
        <v>1890</v>
      </c>
      <c r="J46" s="16">
        <v>2063</v>
      </c>
      <c r="K46" s="16">
        <v>2032</v>
      </c>
      <c r="L46" s="16">
        <v>981</v>
      </c>
      <c r="M46" s="16">
        <v>2835</v>
      </c>
      <c r="N46" s="16">
        <v>1338</v>
      </c>
      <c r="O46" s="16">
        <v>2528</v>
      </c>
      <c r="P46" s="17">
        <f t="shared" si="8"/>
        <v>22456</v>
      </c>
    </row>
    <row r="47" spans="1:16" s="2" customFormat="1" ht="27.75" customHeight="1" thickBot="1" x14ac:dyDescent="0.2">
      <c r="A47" s="197" t="s">
        <v>140</v>
      </c>
      <c r="B47" s="198"/>
      <c r="C47" s="198"/>
      <c r="D47" s="10">
        <f t="shared" ref="D47:O47" si="12">D44+D45+D46</f>
        <v>123824</v>
      </c>
      <c r="E47" s="21">
        <f t="shared" si="12"/>
        <v>104401</v>
      </c>
      <c r="F47" s="10">
        <f t="shared" si="12"/>
        <v>131415</v>
      </c>
      <c r="G47" s="10">
        <f t="shared" si="12"/>
        <v>133887</v>
      </c>
      <c r="H47" s="10">
        <f t="shared" si="12"/>
        <v>134133</v>
      </c>
      <c r="I47" s="10">
        <f t="shared" si="12"/>
        <v>135120</v>
      </c>
      <c r="J47" s="10">
        <f t="shared" si="12"/>
        <v>128035</v>
      </c>
      <c r="K47" s="10">
        <f t="shared" si="12"/>
        <v>102074</v>
      </c>
      <c r="L47" s="10">
        <f t="shared" si="12"/>
        <v>116091</v>
      </c>
      <c r="M47" s="10">
        <f t="shared" si="12"/>
        <v>127614</v>
      </c>
      <c r="N47" s="10">
        <f>N44+N45+N46</f>
        <v>131261</v>
      </c>
      <c r="O47" s="10">
        <f t="shared" si="12"/>
        <v>135028</v>
      </c>
      <c r="P47" s="14">
        <f>SUM(D47:O47)</f>
        <v>1502883</v>
      </c>
    </row>
    <row r="48" spans="1:16" ht="20.100000000000001" customHeight="1" x14ac:dyDescent="0.15"/>
    <row r="54" spans="8:8" x14ac:dyDescent="0.15">
      <c r="H54" s="29"/>
    </row>
  </sheetData>
  <mergeCells count="17">
    <mergeCell ref="A45:C45"/>
    <mergeCell ref="A46:C46"/>
    <mergeCell ref="A47:C47"/>
    <mergeCell ref="A19:A43"/>
    <mergeCell ref="B19:B36"/>
    <mergeCell ref="B37:B41"/>
    <mergeCell ref="B42:C42"/>
    <mergeCell ref="B43:C43"/>
    <mergeCell ref="A44:C44"/>
    <mergeCell ref="A1:P1"/>
    <mergeCell ref="A2:C2"/>
    <mergeCell ref="A3:A18"/>
    <mergeCell ref="B3:B9"/>
    <mergeCell ref="B10:B15"/>
    <mergeCell ref="B16:C16"/>
    <mergeCell ref="B17:C17"/>
    <mergeCell ref="B18:C18"/>
  </mergeCells>
  <phoneticPr fontId="14" type="noConversion"/>
  <pageMargins left="1.34" right="0.51181102362204722" top="0.72" bottom="0.35433070866141736" header="0.11811023622047245" footer="0.11811023622047245"/>
  <pageSetup paperSize="9" scale="55" fitToWidth="2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P48"/>
  <sheetViews>
    <sheetView view="pageBreakPreview" zoomScaleSheetLayoutView="100" workbookViewId="0">
      <pane xSplit="3" ySplit="2" topLeftCell="D3" activePane="bottomRight" state="frozen"/>
      <selection pane="topRight" activeCell="D1" sqref="D1"/>
      <selection pane="bottomLeft" activeCell="A3" sqref="A3"/>
      <selection pane="bottomRight" activeCell="D4" sqref="D4"/>
    </sheetView>
  </sheetViews>
  <sheetFormatPr defaultRowHeight="13.5" x14ac:dyDescent="0.15"/>
  <cols>
    <col min="1" max="1" width="5.21875" customWidth="1"/>
    <col min="2" max="2" width="5.44140625" customWidth="1"/>
    <col min="3" max="3" width="11.44140625" customWidth="1"/>
    <col min="4" max="15" width="13.5546875" customWidth="1"/>
    <col min="16" max="16" width="14.6640625" style="2" customWidth="1"/>
  </cols>
  <sheetData>
    <row r="1" spans="1:16" ht="51" customHeight="1" thickBot="1" x14ac:dyDescent="0.2">
      <c r="A1" s="207" t="s">
        <v>142</v>
      </c>
      <c r="B1" s="208"/>
      <c r="C1" s="208"/>
      <c r="D1" s="208"/>
      <c r="E1" s="208"/>
      <c r="F1" s="208"/>
      <c r="G1" s="208"/>
      <c r="H1" s="208"/>
      <c r="I1" s="208"/>
      <c r="J1" s="208"/>
      <c r="K1" s="208"/>
      <c r="L1" s="208"/>
      <c r="M1" s="208"/>
      <c r="N1" s="208"/>
      <c r="O1" s="208"/>
      <c r="P1" s="208"/>
    </row>
    <row r="2" spans="1:16" ht="25.5" customHeight="1" x14ac:dyDescent="0.15">
      <c r="A2" s="209" t="s">
        <v>56</v>
      </c>
      <c r="B2" s="210"/>
      <c r="C2" s="210"/>
      <c r="D2" s="31" t="s">
        <v>0</v>
      </c>
      <c r="E2" s="31" t="s">
        <v>143</v>
      </c>
      <c r="F2" s="31" t="s">
        <v>2</v>
      </c>
      <c r="G2" s="31" t="s">
        <v>3</v>
      </c>
      <c r="H2" s="31" t="s">
        <v>4</v>
      </c>
      <c r="I2" s="31" t="s">
        <v>5</v>
      </c>
      <c r="J2" s="31" t="s">
        <v>6</v>
      </c>
      <c r="K2" s="31" t="s">
        <v>7</v>
      </c>
      <c r="L2" s="31" t="s">
        <v>8</v>
      </c>
      <c r="M2" s="31" t="s">
        <v>9</v>
      </c>
      <c r="N2" s="31" t="s">
        <v>10</v>
      </c>
      <c r="O2" s="31" t="s">
        <v>11</v>
      </c>
      <c r="P2" s="9" t="s">
        <v>144</v>
      </c>
    </row>
    <row r="3" spans="1:16" ht="19.899999999999999" customHeight="1" x14ac:dyDescent="0.15">
      <c r="A3" s="200" t="s">
        <v>14</v>
      </c>
      <c r="B3" s="206" t="s">
        <v>122</v>
      </c>
      <c r="C3" s="30" t="s">
        <v>62</v>
      </c>
      <c r="D3" s="4">
        <v>54141</v>
      </c>
      <c r="E3" s="22">
        <v>50206</v>
      </c>
      <c r="F3" s="4">
        <v>65789</v>
      </c>
      <c r="G3" s="4">
        <v>53582</v>
      </c>
      <c r="H3" s="4">
        <v>43019</v>
      </c>
      <c r="I3" s="4">
        <v>55951</v>
      </c>
      <c r="J3" s="4">
        <v>58083</v>
      </c>
      <c r="K3" s="4">
        <v>30459</v>
      </c>
      <c r="L3" s="4">
        <v>36617</v>
      </c>
      <c r="M3" s="4">
        <v>48177</v>
      </c>
      <c r="N3" s="4">
        <v>58383</v>
      </c>
      <c r="O3" s="4">
        <v>72191</v>
      </c>
      <c r="P3" s="11">
        <f t="shared" ref="P3:P17" si="0">SUM(D3:O3)</f>
        <v>626598</v>
      </c>
    </row>
    <row r="4" spans="1:16" ht="19.899999999999999" customHeight="1" x14ac:dyDescent="0.15">
      <c r="A4" s="200"/>
      <c r="B4" s="205"/>
      <c r="C4" s="30" t="s">
        <v>17</v>
      </c>
      <c r="D4" s="4">
        <f>1501+3345</f>
        <v>4846</v>
      </c>
      <c r="E4" s="22">
        <f>114+2389</f>
        <v>2503</v>
      </c>
      <c r="F4" s="4">
        <f>2753+249</f>
        <v>3002</v>
      </c>
      <c r="G4" s="4">
        <f>6236+1145</f>
        <v>7381</v>
      </c>
      <c r="H4" s="4">
        <f>4574+500</f>
        <v>5074</v>
      </c>
      <c r="I4" s="4">
        <f>5335+11</f>
        <v>5346</v>
      </c>
      <c r="J4" s="4">
        <f>4679+866</f>
        <v>5545</v>
      </c>
      <c r="K4" s="4">
        <f>3210+2298</f>
        <v>5508</v>
      </c>
      <c r="L4" s="4">
        <v>4940</v>
      </c>
      <c r="M4" s="4">
        <f>884+4706</f>
        <v>5590</v>
      </c>
      <c r="N4" s="4">
        <f>4683+834</f>
        <v>5517</v>
      </c>
      <c r="O4" s="4">
        <f>5022+1437</f>
        <v>6459</v>
      </c>
      <c r="P4" s="11">
        <f t="shared" si="0"/>
        <v>61711</v>
      </c>
    </row>
    <row r="5" spans="1:16" ht="19.899999999999999" customHeight="1" x14ac:dyDescent="0.15">
      <c r="A5" s="200"/>
      <c r="B5" s="205"/>
      <c r="C5" s="30" t="s">
        <v>65</v>
      </c>
      <c r="D5" s="4">
        <v>2970</v>
      </c>
      <c r="E5" s="22">
        <v>2379</v>
      </c>
      <c r="F5" s="4">
        <v>3490</v>
      </c>
      <c r="G5" s="4">
        <v>3934</v>
      </c>
      <c r="H5" s="4">
        <v>3372</v>
      </c>
      <c r="I5" s="4">
        <v>4013</v>
      </c>
      <c r="J5" s="4">
        <v>3505</v>
      </c>
      <c r="K5" s="4">
        <v>4083</v>
      </c>
      <c r="L5" s="4">
        <v>4627</v>
      </c>
      <c r="M5" s="4">
        <v>3550</v>
      </c>
      <c r="N5" s="4">
        <v>4081</v>
      </c>
      <c r="O5" s="4">
        <v>6249</v>
      </c>
      <c r="P5" s="11">
        <f t="shared" si="0"/>
        <v>46253</v>
      </c>
    </row>
    <row r="6" spans="1:16" ht="19.899999999999999" customHeight="1" x14ac:dyDescent="0.15">
      <c r="A6" s="200"/>
      <c r="B6" s="205"/>
      <c r="C6" s="30" t="s">
        <v>118</v>
      </c>
      <c r="D6" s="4"/>
      <c r="E6" s="22"/>
      <c r="F6" s="4"/>
      <c r="G6" s="4"/>
      <c r="H6" s="4"/>
      <c r="I6" s="4"/>
      <c r="J6" s="4"/>
      <c r="K6" s="4"/>
      <c r="L6" s="4"/>
      <c r="M6" s="4"/>
      <c r="N6" s="4"/>
      <c r="O6" s="4"/>
      <c r="P6" s="11">
        <f t="shared" si="0"/>
        <v>0</v>
      </c>
    </row>
    <row r="7" spans="1:16" ht="19.899999999999999" customHeight="1" x14ac:dyDescent="0.15">
      <c r="A7" s="200"/>
      <c r="B7" s="205"/>
      <c r="C7" s="30" t="s">
        <v>119</v>
      </c>
      <c r="D7" s="4"/>
      <c r="E7" s="22"/>
      <c r="F7" s="4"/>
      <c r="G7" s="4"/>
      <c r="H7" s="4"/>
      <c r="I7" s="4"/>
      <c r="J7" s="4"/>
      <c r="K7" s="4"/>
      <c r="L7" s="4"/>
      <c r="M7" s="4"/>
      <c r="N7" s="4"/>
      <c r="O7" s="4"/>
      <c r="P7" s="11">
        <f t="shared" si="0"/>
        <v>0</v>
      </c>
    </row>
    <row r="8" spans="1:16" ht="19.899999999999999" customHeight="1" x14ac:dyDescent="0.15">
      <c r="A8" s="200"/>
      <c r="B8" s="205"/>
      <c r="C8" s="30" t="s">
        <v>66</v>
      </c>
      <c r="D8" s="4">
        <v>14</v>
      </c>
      <c r="E8" s="22">
        <v>180</v>
      </c>
      <c r="F8" s="4">
        <v>372</v>
      </c>
      <c r="G8" s="4">
        <v>6</v>
      </c>
      <c r="H8" s="4">
        <v>17</v>
      </c>
      <c r="I8" s="4">
        <v>215</v>
      </c>
      <c r="J8" s="4">
        <v>113</v>
      </c>
      <c r="K8" s="4">
        <v>211</v>
      </c>
      <c r="L8" s="4">
        <v>300</v>
      </c>
      <c r="M8" s="4">
        <v>1541</v>
      </c>
      <c r="N8" s="4">
        <v>164</v>
      </c>
      <c r="O8" s="4">
        <v>1311</v>
      </c>
      <c r="P8" s="11">
        <f t="shared" si="0"/>
        <v>4444</v>
      </c>
    </row>
    <row r="9" spans="1:16" ht="19.899999999999999" customHeight="1" x14ac:dyDescent="0.15">
      <c r="A9" s="200"/>
      <c r="B9" s="205"/>
      <c r="C9" s="3" t="s">
        <v>22</v>
      </c>
      <c r="D9" s="5">
        <f t="shared" ref="D9:O9" si="1">SUM(D3:D8)</f>
        <v>61971</v>
      </c>
      <c r="E9" s="23">
        <f t="shared" si="1"/>
        <v>55268</v>
      </c>
      <c r="F9" s="5">
        <f t="shared" si="1"/>
        <v>72653</v>
      </c>
      <c r="G9" s="5">
        <f t="shared" si="1"/>
        <v>64903</v>
      </c>
      <c r="H9" s="5">
        <f t="shared" si="1"/>
        <v>51482</v>
      </c>
      <c r="I9" s="5">
        <f t="shared" si="1"/>
        <v>65525</v>
      </c>
      <c r="J9" s="5">
        <f t="shared" si="1"/>
        <v>67246</v>
      </c>
      <c r="K9" s="5">
        <f t="shared" si="1"/>
        <v>40261</v>
      </c>
      <c r="L9" s="5">
        <f t="shared" si="1"/>
        <v>46484</v>
      </c>
      <c r="M9" s="5">
        <f t="shared" si="1"/>
        <v>58858</v>
      </c>
      <c r="N9" s="5">
        <f t="shared" si="1"/>
        <v>68145</v>
      </c>
      <c r="O9" s="5">
        <f t="shared" si="1"/>
        <v>86210</v>
      </c>
      <c r="P9" s="11">
        <f t="shared" si="0"/>
        <v>739006</v>
      </c>
    </row>
    <row r="10" spans="1:16" ht="19.899999999999999" customHeight="1" x14ac:dyDescent="0.15">
      <c r="A10" s="200"/>
      <c r="B10" s="211" t="s">
        <v>123</v>
      </c>
      <c r="C10" s="15" t="s">
        <v>120</v>
      </c>
      <c r="D10" s="18"/>
      <c r="E10" s="22"/>
      <c r="F10" s="18">
        <v>1</v>
      </c>
      <c r="G10" s="18">
        <v>1</v>
      </c>
      <c r="H10" s="18">
        <v>17</v>
      </c>
      <c r="I10" s="18"/>
      <c r="J10" s="18">
        <v>7</v>
      </c>
      <c r="K10" s="18">
        <v>5</v>
      </c>
      <c r="L10" s="18">
        <v>9</v>
      </c>
      <c r="M10" s="18">
        <v>2</v>
      </c>
      <c r="N10" s="18">
        <v>45</v>
      </c>
      <c r="O10" s="18">
        <v>15</v>
      </c>
      <c r="P10" s="11">
        <f t="shared" si="0"/>
        <v>102</v>
      </c>
    </row>
    <row r="11" spans="1:16" ht="19.899999999999999" customHeight="1" x14ac:dyDescent="0.15">
      <c r="A11" s="200"/>
      <c r="B11" s="212"/>
      <c r="C11" s="15" t="s">
        <v>17</v>
      </c>
      <c r="D11" s="18">
        <v>11</v>
      </c>
      <c r="E11" s="22">
        <v>50</v>
      </c>
      <c r="F11" s="18">
        <v>26</v>
      </c>
      <c r="G11" s="18">
        <v>3</v>
      </c>
      <c r="H11" s="18">
        <v>13</v>
      </c>
      <c r="I11" s="18">
        <v>59</v>
      </c>
      <c r="J11" s="18">
        <v>34</v>
      </c>
      <c r="K11" s="18">
        <v>18</v>
      </c>
      <c r="L11" s="18">
        <v>26</v>
      </c>
      <c r="M11" s="18">
        <v>29</v>
      </c>
      <c r="N11" s="18">
        <v>16</v>
      </c>
      <c r="O11" s="18">
        <v>80</v>
      </c>
      <c r="P11" s="11">
        <f t="shared" si="0"/>
        <v>365</v>
      </c>
    </row>
    <row r="12" spans="1:16" ht="19.899999999999999" customHeight="1" x14ac:dyDescent="0.15">
      <c r="A12" s="200"/>
      <c r="B12" s="212"/>
      <c r="C12" s="15" t="s">
        <v>132</v>
      </c>
      <c r="D12" s="18"/>
      <c r="E12" s="22">
        <v>1</v>
      </c>
      <c r="F12" s="18">
        <v>5</v>
      </c>
      <c r="G12" s="18"/>
      <c r="H12" s="18"/>
      <c r="I12" s="18"/>
      <c r="J12" s="18"/>
      <c r="K12" s="18">
        <v>1</v>
      </c>
      <c r="L12" s="18"/>
      <c r="M12" s="18">
        <v>13</v>
      </c>
      <c r="N12" s="18">
        <v>15</v>
      </c>
      <c r="O12" s="18">
        <v>1</v>
      </c>
      <c r="P12" s="11">
        <f t="shared" si="0"/>
        <v>36</v>
      </c>
    </row>
    <row r="13" spans="1:16" ht="19.899999999999999" customHeight="1" x14ac:dyDescent="0.15">
      <c r="A13" s="200"/>
      <c r="B13" s="212"/>
      <c r="C13" s="15" t="s">
        <v>138</v>
      </c>
      <c r="D13" s="18">
        <v>131</v>
      </c>
      <c r="E13" s="22">
        <v>42</v>
      </c>
      <c r="F13" s="18">
        <v>81</v>
      </c>
      <c r="G13" s="18">
        <v>73</v>
      </c>
      <c r="H13" s="18">
        <v>123</v>
      </c>
      <c r="I13" s="18">
        <v>103</v>
      </c>
      <c r="J13" s="18">
        <v>156</v>
      </c>
      <c r="K13" s="18">
        <v>199</v>
      </c>
      <c r="L13" s="18">
        <v>77</v>
      </c>
      <c r="M13" s="18">
        <v>170</v>
      </c>
      <c r="N13" s="18">
        <v>227</v>
      </c>
      <c r="O13" s="18">
        <v>99</v>
      </c>
      <c r="P13" s="11">
        <f t="shared" si="0"/>
        <v>1481</v>
      </c>
    </row>
    <row r="14" spans="1:16" ht="19.899999999999999" customHeight="1" x14ac:dyDescent="0.15">
      <c r="A14" s="200"/>
      <c r="B14" s="212"/>
      <c r="C14" s="15" t="s">
        <v>137</v>
      </c>
      <c r="D14" s="18">
        <v>11</v>
      </c>
      <c r="E14" s="22">
        <v>27</v>
      </c>
      <c r="F14" s="18">
        <v>46</v>
      </c>
      <c r="G14" s="18">
        <v>58</v>
      </c>
      <c r="H14" s="18">
        <v>47</v>
      </c>
      <c r="I14" s="18">
        <v>4</v>
      </c>
      <c r="J14" s="18">
        <v>22</v>
      </c>
      <c r="K14" s="18">
        <v>40</v>
      </c>
      <c r="L14" s="18">
        <v>13</v>
      </c>
      <c r="M14" s="18">
        <v>16</v>
      </c>
      <c r="N14" s="18">
        <v>19</v>
      </c>
      <c r="O14" s="18">
        <v>19</v>
      </c>
      <c r="P14" s="11">
        <f t="shared" si="0"/>
        <v>322</v>
      </c>
    </row>
    <row r="15" spans="1:16" ht="19.899999999999999" customHeight="1" x14ac:dyDescent="0.15">
      <c r="A15" s="200"/>
      <c r="B15" s="213"/>
      <c r="C15" s="3" t="s">
        <v>22</v>
      </c>
      <c r="D15" s="5">
        <f t="shared" ref="D15:J15" si="2">SUM(D10:D14)</f>
        <v>153</v>
      </c>
      <c r="E15" s="23">
        <f t="shared" si="2"/>
        <v>120</v>
      </c>
      <c r="F15" s="5">
        <f t="shared" si="2"/>
        <v>159</v>
      </c>
      <c r="G15" s="5">
        <f t="shared" si="2"/>
        <v>135</v>
      </c>
      <c r="H15" s="5">
        <f t="shared" si="2"/>
        <v>200</v>
      </c>
      <c r="I15" s="5">
        <f t="shared" si="2"/>
        <v>166</v>
      </c>
      <c r="J15" s="5">
        <f t="shared" si="2"/>
        <v>219</v>
      </c>
      <c r="K15" s="5">
        <f>SUM(K10:K14)</f>
        <v>263</v>
      </c>
      <c r="L15" s="5">
        <f>SUM(L10:L14)</f>
        <v>125</v>
      </c>
      <c r="M15" s="5">
        <f>SUM(M10:M14)</f>
        <v>230</v>
      </c>
      <c r="N15" s="5">
        <f>SUM(N10:N14)</f>
        <v>322</v>
      </c>
      <c r="O15" s="5">
        <f>SUM(O10:O14)</f>
        <v>214</v>
      </c>
      <c r="P15" s="11">
        <f t="shared" si="0"/>
        <v>2306</v>
      </c>
    </row>
    <row r="16" spans="1:16" ht="19.5" customHeight="1" x14ac:dyDescent="0.15">
      <c r="A16" s="200"/>
      <c r="B16" s="214" t="s">
        <v>68</v>
      </c>
      <c r="C16" s="215"/>
      <c r="D16" s="18">
        <v>440</v>
      </c>
      <c r="E16" s="22">
        <v>126</v>
      </c>
      <c r="F16" s="18">
        <v>147</v>
      </c>
      <c r="G16" s="18">
        <v>200</v>
      </c>
      <c r="H16" s="18">
        <v>410</v>
      </c>
      <c r="I16" s="18">
        <v>309</v>
      </c>
      <c r="J16" s="18">
        <v>186</v>
      </c>
      <c r="K16" s="18">
        <v>319</v>
      </c>
      <c r="L16" s="18">
        <v>178</v>
      </c>
      <c r="M16" s="18">
        <v>528</v>
      </c>
      <c r="N16" s="18">
        <v>546</v>
      </c>
      <c r="O16" s="18">
        <v>438</v>
      </c>
      <c r="P16" s="11">
        <f t="shared" si="0"/>
        <v>3827</v>
      </c>
    </row>
    <row r="17" spans="1:16" ht="19.899999999999999" customHeight="1" x14ac:dyDescent="0.15">
      <c r="A17" s="200"/>
      <c r="B17" s="205" t="s">
        <v>127</v>
      </c>
      <c r="C17" s="205"/>
      <c r="D17" s="4">
        <v>161</v>
      </c>
      <c r="E17" s="22">
        <v>161</v>
      </c>
      <c r="F17" s="4">
        <v>70</v>
      </c>
      <c r="G17" s="4">
        <v>94</v>
      </c>
      <c r="H17" s="4">
        <v>247</v>
      </c>
      <c r="I17" s="4">
        <v>81</v>
      </c>
      <c r="J17" s="4">
        <v>103</v>
      </c>
      <c r="K17" s="4">
        <v>44</v>
      </c>
      <c r="L17" s="4">
        <v>137</v>
      </c>
      <c r="M17" s="4">
        <v>168</v>
      </c>
      <c r="N17" s="4">
        <v>80</v>
      </c>
      <c r="O17" s="4">
        <v>50</v>
      </c>
      <c r="P17" s="11">
        <f t="shared" si="0"/>
        <v>1396</v>
      </c>
    </row>
    <row r="18" spans="1:16" ht="26.45" customHeight="1" x14ac:dyDescent="0.15">
      <c r="A18" s="200"/>
      <c r="B18" s="199" t="s">
        <v>39</v>
      </c>
      <c r="C18" s="199"/>
      <c r="D18" s="6">
        <f t="shared" ref="D18:O18" si="3">D9+D17+D15+D16</f>
        <v>62725</v>
      </c>
      <c r="E18" s="24">
        <f t="shared" si="3"/>
        <v>55675</v>
      </c>
      <c r="F18" s="6">
        <f t="shared" si="3"/>
        <v>73029</v>
      </c>
      <c r="G18" s="6">
        <f t="shared" si="3"/>
        <v>65332</v>
      </c>
      <c r="H18" s="6">
        <f t="shared" si="3"/>
        <v>52339</v>
      </c>
      <c r="I18" s="6">
        <f t="shared" si="3"/>
        <v>66081</v>
      </c>
      <c r="J18" s="6">
        <f t="shared" si="3"/>
        <v>67754</v>
      </c>
      <c r="K18" s="6">
        <f t="shared" si="3"/>
        <v>40887</v>
      </c>
      <c r="L18" s="6">
        <f t="shared" si="3"/>
        <v>46924</v>
      </c>
      <c r="M18" s="6">
        <f t="shared" si="3"/>
        <v>59784</v>
      </c>
      <c r="N18" s="6">
        <f t="shared" si="3"/>
        <v>69093</v>
      </c>
      <c r="O18" s="6">
        <f t="shared" si="3"/>
        <v>86912</v>
      </c>
      <c r="P18" s="13">
        <f t="shared" ref="P18:P28" si="4">SUM(D18:O18)</f>
        <v>746535</v>
      </c>
    </row>
    <row r="19" spans="1:16" ht="19.5" customHeight="1" x14ac:dyDescent="0.15">
      <c r="A19" s="200" t="s">
        <v>21</v>
      </c>
      <c r="B19" s="211" t="s">
        <v>125</v>
      </c>
      <c r="C19" s="30" t="s">
        <v>25</v>
      </c>
      <c r="D19" s="4">
        <v>3009</v>
      </c>
      <c r="E19" s="22">
        <v>5658</v>
      </c>
      <c r="F19" s="4">
        <v>5113</v>
      </c>
      <c r="G19" s="4">
        <v>5189</v>
      </c>
      <c r="H19" s="4">
        <v>6450</v>
      </c>
      <c r="I19" s="4">
        <v>6053</v>
      </c>
      <c r="J19" s="4">
        <v>6559</v>
      </c>
      <c r="K19" s="4">
        <v>5698</v>
      </c>
      <c r="L19" s="4">
        <v>5987</v>
      </c>
      <c r="M19" s="4">
        <v>3961</v>
      </c>
      <c r="N19" s="4">
        <v>5354</v>
      </c>
      <c r="O19" s="4">
        <v>3546</v>
      </c>
      <c r="P19" s="11">
        <f t="shared" si="4"/>
        <v>62577</v>
      </c>
    </row>
    <row r="20" spans="1:16" ht="20.100000000000001" customHeight="1" x14ac:dyDescent="0.15">
      <c r="A20" s="201"/>
      <c r="B20" s="212"/>
      <c r="C20" s="30" t="s">
        <v>26</v>
      </c>
      <c r="D20" s="4">
        <v>4885</v>
      </c>
      <c r="E20" s="22">
        <v>5028</v>
      </c>
      <c r="F20" s="4">
        <v>2669</v>
      </c>
      <c r="G20" s="4">
        <v>3326</v>
      </c>
      <c r="H20" s="4">
        <v>2941</v>
      </c>
      <c r="I20" s="4">
        <v>4774</v>
      </c>
      <c r="J20" s="4">
        <v>5944</v>
      </c>
      <c r="K20" s="4">
        <v>5660</v>
      </c>
      <c r="L20" s="4">
        <v>7038</v>
      </c>
      <c r="M20" s="4">
        <v>8225</v>
      </c>
      <c r="N20" s="4">
        <v>7573</v>
      </c>
      <c r="O20" s="4">
        <v>6331</v>
      </c>
      <c r="P20" s="11">
        <f t="shared" si="4"/>
        <v>64394</v>
      </c>
    </row>
    <row r="21" spans="1:16" ht="20.100000000000001" customHeight="1" x14ac:dyDescent="0.15">
      <c r="A21" s="201"/>
      <c r="B21" s="212"/>
      <c r="C21" s="30" t="s">
        <v>23</v>
      </c>
      <c r="D21" s="4">
        <v>3275</v>
      </c>
      <c r="E21" s="22">
        <v>1518</v>
      </c>
      <c r="F21" s="4">
        <v>1601</v>
      </c>
      <c r="G21" s="4">
        <v>2340</v>
      </c>
      <c r="H21" s="4">
        <v>2743</v>
      </c>
      <c r="I21" s="4">
        <v>1820</v>
      </c>
      <c r="J21" s="4">
        <v>3045</v>
      </c>
      <c r="K21" s="4">
        <v>2252</v>
      </c>
      <c r="L21" s="4">
        <v>550</v>
      </c>
      <c r="M21" s="4">
        <v>15</v>
      </c>
      <c r="N21" s="4">
        <v>4</v>
      </c>
      <c r="O21" s="4">
        <v>47</v>
      </c>
      <c r="P21" s="11">
        <f t="shared" si="4"/>
        <v>19210</v>
      </c>
    </row>
    <row r="22" spans="1:16" ht="20.100000000000001" customHeight="1" x14ac:dyDescent="0.15">
      <c r="A22" s="201"/>
      <c r="B22" s="212"/>
      <c r="C22" s="30" t="s">
        <v>24</v>
      </c>
      <c r="D22" s="4">
        <v>2522</v>
      </c>
      <c r="E22" s="22">
        <v>1888</v>
      </c>
      <c r="F22" s="4">
        <v>993</v>
      </c>
      <c r="G22" s="4">
        <v>2766</v>
      </c>
      <c r="H22" s="4">
        <v>2687</v>
      </c>
      <c r="I22" s="4">
        <v>1552</v>
      </c>
      <c r="J22" s="4">
        <v>1522</v>
      </c>
      <c r="K22" s="4">
        <v>933</v>
      </c>
      <c r="L22" s="4">
        <v>44</v>
      </c>
      <c r="M22" s="4"/>
      <c r="N22" s="4"/>
      <c r="O22" s="4"/>
      <c r="P22" s="11">
        <f t="shared" si="4"/>
        <v>14907</v>
      </c>
    </row>
    <row r="23" spans="1:16" ht="20.100000000000001" customHeight="1" x14ac:dyDescent="0.15">
      <c r="A23" s="201"/>
      <c r="B23" s="212"/>
      <c r="C23" s="30" t="s">
        <v>77</v>
      </c>
      <c r="D23" s="4">
        <v>1922</v>
      </c>
      <c r="E23" s="22">
        <v>514</v>
      </c>
      <c r="F23" s="4">
        <v>1496</v>
      </c>
      <c r="G23" s="4">
        <v>1339</v>
      </c>
      <c r="H23" s="4">
        <v>967</v>
      </c>
      <c r="I23" s="4">
        <v>315</v>
      </c>
      <c r="J23" s="4">
        <v>838</v>
      </c>
      <c r="K23" s="4">
        <v>1271</v>
      </c>
      <c r="L23" s="4">
        <v>647</v>
      </c>
      <c r="M23" s="4">
        <v>540</v>
      </c>
      <c r="N23" s="4">
        <v>677</v>
      </c>
      <c r="O23" s="4">
        <v>1701</v>
      </c>
      <c r="P23" s="11">
        <f t="shared" si="4"/>
        <v>12227</v>
      </c>
    </row>
    <row r="24" spans="1:16" ht="20.100000000000001" customHeight="1" x14ac:dyDescent="0.15">
      <c r="A24" s="201"/>
      <c r="B24" s="212"/>
      <c r="C24" s="30" t="s">
        <v>78</v>
      </c>
      <c r="D24" s="4">
        <v>142</v>
      </c>
      <c r="E24" s="22">
        <v>585</v>
      </c>
      <c r="F24" s="4">
        <v>370</v>
      </c>
      <c r="G24" s="4">
        <v>308</v>
      </c>
      <c r="H24" s="4">
        <v>486</v>
      </c>
      <c r="I24" s="4">
        <v>402</v>
      </c>
      <c r="J24" s="4">
        <v>485</v>
      </c>
      <c r="K24" s="4">
        <v>554</v>
      </c>
      <c r="L24" s="4">
        <v>397</v>
      </c>
      <c r="M24" s="4">
        <v>541</v>
      </c>
      <c r="N24" s="4">
        <v>686</v>
      </c>
      <c r="O24" s="4">
        <v>446</v>
      </c>
      <c r="P24" s="11">
        <f t="shared" si="4"/>
        <v>5402</v>
      </c>
    </row>
    <row r="25" spans="1:16" ht="20.100000000000001" customHeight="1" x14ac:dyDescent="0.15">
      <c r="A25" s="201"/>
      <c r="B25" s="212"/>
      <c r="C25" s="30" t="s">
        <v>79</v>
      </c>
      <c r="D25" s="4">
        <v>985</v>
      </c>
      <c r="E25" s="22">
        <v>1023</v>
      </c>
      <c r="F25" s="4">
        <v>965</v>
      </c>
      <c r="G25" s="4">
        <v>939</v>
      </c>
      <c r="H25" s="4">
        <v>1051</v>
      </c>
      <c r="I25" s="4">
        <v>1169</v>
      </c>
      <c r="J25" s="4">
        <v>792</v>
      </c>
      <c r="K25" s="4">
        <v>1305</v>
      </c>
      <c r="L25" s="4">
        <v>565</v>
      </c>
      <c r="M25" s="4">
        <v>696</v>
      </c>
      <c r="N25" s="4">
        <v>784</v>
      </c>
      <c r="O25" s="4">
        <v>788</v>
      </c>
      <c r="P25" s="11">
        <f t="shared" si="4"/>
        <v>11062</v>
      </c>
    </row>
    <row r="26" spans="1:16" ht="20.100000000000001" customHeight="1" x14ac:dyDescent="0.15">
      <c r="A26" s="201"/>
      <c r="B26" s="212"/>
      <c r="C26" s="30" t="s">
        <v>87</v>
      </c>
      <c r="D26" s="4">
        <v>386</v>
      </c>
      <c r="E26" s="22">
        <v>754</v>
      </c>
      <c r="F26" s="4">
        <v>1254</v>
      </c>
      <c r="G26" s="4">
        <v>813</v>
      </c>
      <c r="H26" s="4">
        <v>553</v>
      </c>
      <c r="I26" s="4">
        <v>1228</v>
      </c>
      <c r="J26" s="4">
        <v>793</v>
      </c>
      <c r="K26" s="4">
        <v>496</v>
      </c>
      <c r="L26" s="4">
        <v>406</v>
      </c>
      <c r="M26" s="4">
        <v>1042</v>
      </c>
      <c r="N26" s="4">
        <v>446</v>
      </c>
      <c r="O26" s="4">
        <v>564</v>
      </c>
      <c r="P26" s="11">
        <f t="shared" si="4"/>
        <v>8735</v>
      </c>
    </row>
    <row r="27" spans="1:16" ht="20.100000000000001" customHeight="1" x14ac:dyDescent="0.15">
      <c r="A27" s="201"/>
      <c r="B27" s="212"/>
      <c r="C27" s="30" t="s">
        <v>33</v>
      </c>
      <c r="D27" s="4">
        <v>269</v>
      </c>
      <c r="E27" s="22">
        <v>363</v>
      </c>
      <c r="F27" s="4">
        <v>281</v>
      </c>
      <c r="G27" s="4">
        <v>215</v>
      </c>
      <c r="H27" s="4">
        <v>468</v>
      </c>
      <c r="I27" s="4">
        <v>248</v>
      </c>
      <c r="J27" s="4">
        <v>401</v>
      </c>
      <c r="K27" s="4">
        <v>351</v>
      </c>
      <c r="L27" s="4">
        <v>223</v>
      </c>
      <c r="M27" s="4">
        <v>354</v>
      </c>
      <c r="N27" s="4">
        <v>346</v>
      </c>
      <c r="O27" s="4">
        <v>200</v>
      </c>
      <c r="P27" s="11">
        <f t="shared" si="4"/>
        <v>3719</v>
      </c>
    </row>
    <row r="28" spans="1:16" ht="20.100000000000001" customHeight="1" x14ac:dyDescent="0.15">
      <c r="A28" s="201"/>
      <c r="B28" s="212"/>
      <c r="C28" s="30" t="s">
        <v>31</v>
      </c>
      <c r="D28" s="4">
        <v>589</v>
      </c>
      <c r="E28" s="22">
        <v>360</v>
      </c>
      <c r="F28" s="4">
        <v>458</v>
      </c>
      <c r="G28" s="4">
        <v>452</v>
      </c>
      <c r="H28" s="4">
        <v>218</v>
      </c>
      <c r="I28" s="4">
        <v>292</v>
      </c>
      <c r="J28" s="4">
        <v>468</v>
      </c>
      <c r="K28" s="4">
        <v>302</v>
      </c>
      <c r="L28" s="4">
        <v>297</v>
      </c>
      <c r="M28" s="4">
        <v>634</v>
      </c>
      <c r="N28" s="4">
        <v>565</v>
      </c>
      <c r="O28" s="4">
        <v>453</v>
      </c>
      <c r="P28" s="11">
        <f t="shared" si="4"/>
        <v>5088</v>
      </c>
    </row>
    <row r="29" spans="1:16" ht="20.100000000000001" customHeight="1" x14ac:dyDescent="0.15">
      <c r="A29" s="201"/>
      <c r="B29" s="212"/>
      <c r="C29" s="30" t="s">
        <v>110</v>
      </c>
      <c r="D29" s="4">
        <v>413</v>
      </c>
      <c r="E29" s="22">
        <v>927</v>
      </c>
      <c r="F29" s="4">
        <v>1116</v>
      </c>
      <c r="G29" s="4">
        <v>1344</v>
      </c>
      <c r="H29" s="4">
        <v>468</v>
      </c>
      <c r="I29" s="4">
        <v>1846</v>
      </c>
      <c r="J29" s="4">
        <v>811</v>
      </c>
      <c r="K29" s="4">
        <v>1409</v>
      </c>
      <c r="L29" s="4">
        <v>1328</v>
      </c>
      <c r="M29" s="4">
        <v>2050</v>
      </c>
      <c r="N29" s="4">
        <v>2786</v>
      </c>
      <c r="O29" s="4">
        <v>1833</v>
      </c>
      <c r="P29" s="11">
        <f t="shared" ref="P29:P46" si="5">SUM(D29:O29)</f>
        <v>16331</v>
      </c>
    </row>
    <row r="30" spans="1:16" ht="20.100000000000001" customHeight="1" x14ac:dyDescent="0.15">
      <c r="A30" s="201"/>
      <c r="B30" s="212"/>
      <c r="C30" s="30" t="s">
        <v>27</v>
      </c>
      <c r="D30" s="4">
        <v>278</v>
      </c>
      <c r="E30" s="22">
        <v>39</v>
      </c>
      <c r="F30" s="4">
        <v>609</v>
      </c>
      <c r="G30" s="4">
        <v>867</v>
      </c>
      <c r="H30" s="4">
        <v>991</v>
      </c>
      <c r="I30" s="4">
        <v>839</v>
      </c>
      <c r="J30" s="4">
        <v>654</v>
      </c>
      <c r="K30" s="4">
        <v>318</v>
      </c>
      <c r="L30" s="4">
        <v>925</v>
      </c>
      <c r="M30" s="4">
        <v>373</v>
      </c>
      <c r="N30" s="4">
        <v>242</v>
      </c>
      <c r="O30" s="4">
        <v>697</v>
      </c>
      <c r="P30" s="11">
        <f t="shared" si="5"/>
        <v>6832</v>
      </c>
    </row>
    <row r="31" spans="1:16" ht="20.100000000000001" customHeight="1" x14ac:dyDescent="0.15">
      <c r="A31" s="201"/>
      <c r="B31" s="212"/>
      <c r="C31" s="30" t="s">
        <v>32</v>
      </c>
      <c r="D31" s="4">
        <v>729</v>
      </c>
      <c r="E31" s="22">
        <v>307</v>
      </c>
      <c r="F31" s="4">
        <v>486</v>
      </c>
      <c r="G31" s="4">
        <v>593</v>
      </c>
      <c r="H31" s="4">
        <v>659</v>
      </c>
      <c r="I31" s="4">
        <v>430</v>
      </c>
      <c r="J31" s="4">
        <v>640</v>
      </c>
      <c r="K31" s="4">
        <v>640</v>
      </c>
      <c r="L31" s="4">
        <v>394</v>
      </c>
      <c r="M31" s="4">
        <v>125</v>
      </c>
      <c r="N31" s="4">
        <v>407</v>
      </c>
      <c r="O31" s="4">
        <v>400</v>
      </c>
      <c r="P31" s="11">
        <f t="shared" si="5"/>
        <v>5810</v>
      </c>
    </row>
    <row r="32" spans="1:16" ht="20.100000000000001" customHeight="1" x14ac:dyDescent="0.15">
      <c r="A32" s="201"/>
      <c r="B32" s="212"/>
      <c r="C32" s="30" t="s">
        <v>83</v>
      </c>
      <c r="D32" s="4">
        <v>1629</v>
      </c>
      <c r="E32" s="22">
        <v>1718</v>
      </c>
      <c r="F32" s="4">
        <v>2482</v>
      </c>
      <c r="G32" s="4">
        <v>1825</v>
      </c>
      <c r="H32" s="4">
        <v>1851</v>
      </c>
      <c r="I32" s="4">
        <v>385</v>
      </c>
      <c r="J32" s="4">
        <v>127</v>
      </c>
      <c r="K32" s="4">
        <v>1111</v>
      </c>
      <c r="L32" s="4">
        <v>1248</v>
      </c>
      <c r="M32" s="4">
        <v>2077</v>
      </c>
      <c r="N32" s="4">
        <v>743</v>
      </c>
      <c r="O32" s="4">
        <v>615</v>
      </c>
      <c r="P32" s="11">
        <f t="shared" si="5"/>
        <v>15811</v>
      </c>
    </row>
    <row r="33" spans="1:16" ht="20.100000000000001" customHeight="1" x14ac:dyDescent="0.15">
      <c r="A33" s="201"/>
      <c r="B33" s="212"/>
      <c r="C33" s="30" t="s">
        <v>98</v>
      </c>
      <c r="D33" s="4">
        <v>431</v>
      </c>
      <c r="E33" s="22">
        <v>520</v>
      </c>
      <c r="F33" s="4">
        <v>585</v>
      </c>
      <c r="G33" s="4">
        <v>92</v>
      </c>
      <c r="H33" s="4">
        <v>801</v>
      </c>
      <c r="I33" s="4">
        <v>749</v>
      </c>
      <c r="J33" s="4">
        <v>748</v>
      </c>
      <c r="K33" s="4">
        <v>642</v>
      </c>
      <c r="L33" s="4">
        <v>401</v>
      </c>
      <c r="M33" s="4">
        <v>914</v>
      </c>
      <c r="N33" s="4">
        <v>273</v>
      </c>
      <c r="O33" s="4">
        <v>560</v>
      </c>
      <c r="P33" s="11">
        <f t="shared" si="5"/>
        <v>6716</v>
      </c>
    </row>
    <row r="34" spans="1:16" ht="20.100000000000001" customHeight="1" x14ac:dyDescent="0.15">
      <c r="A34" s="201"/>
      <c r="B34" s="212"/>
      <c r="C34" s="30" t="s">
        <v>131</v>
      </c>
      <c r="D34" s="4"/>
      <c r="E34" s="22"/>
      <c r="F34" s="4"/>
      <c r="G34" s="4"/>
      <c r="H34" s="4"/>
      <c r="I34" s="4"/>
      <c r="J34" s="4"/>
      <c r="K34" s="4"/>
      <c r="L34" s="4"/>
      <c r="M34" s="4"/>
      <c r="N34" s="4"/>
      <c r="O34" s="4"/>
      <c r="P34" s="11">
        <f t="shared" si="5"/>
        <v>0</v>
      </c>
    </row>
    <row r="35" spans="1:16" ht="20.100000000000001" customHeight="1" x14ac:dyDescent="0.15">
      <c r="A35" s="201"/>
      <c r="B35" s="212"/>
      <c r="C35" s="30" t="s">
        <v>66</v>
      </c>
      <c r="D35" s="4">
        <v>144</v>
      </c>
      <c r="E35" s="22">
        <v>166</v>
      </c>
      <c r="F35" s="4">
        <v>64</v>
      </c>
      <c r="G35" s="4">
        <v>85</v>
      </c>
      <c r="H35" s="4">
        <v>231</v>
      </c>
      <c r="I35" s="4">
        <v>199</v>
      </c>
      <c r="J35" s="4">
        <v>408</v>
      </c>
      <c r="K35" s="4">
        <v>124</v>
      </c>
      <c r="L35" s="4">
        <v>89</v>
      </c>
      <c r="M35" s="4">
        <v>200</v>
      </c>
      <c r="N35" s="4">
        <v>260</v>
      </c>
      <c r="O35" s="4">
        <v>64</v>
      </c>
      <c r="P35" s="11">
        <f t="shared" si="5"/>
        <v>2034</v>
      </c>
    </row>
    <row r="36" spans="1:16" ht="20.100000000000001" customHeight="1" x14ac:dyDescent="0.15">
      <c r="A36" s="201"/>
      <c r="B36" s="213"/>
      <c r="C36" s="19" t="s">
        <v>130</v>
      </c>
      <c r="D36" s="20">
        <f t="shared" ref="D36:O36" si="6">SUM(D19:D35)</f>
        <v>21608</v>
      </c>
      <c r="E36" s="25">
        <f t="shared" si="6"/>
        <v>21368</v>
      </c>
      <c r="F36" s="20">
        <f t="shared" si="6"/>
        <v>20542</v>
      </c>
      <c r="G36" s="20">
        <f t="shared" si="6"/>
        <v>22493</v>
      </c>
      <c r="H36" s="20">
        <f t="shared" si="6"/>
        <v>23565</v>
      </c>
      <c r="I36" s="20">
        <f t="shared" si="6"/>
        <v>22301</v>
      </c>
      <c r="J36" s="20">
        <f t="shared" si="6"/>
        <v>24235</v>
      </c>
      <c r="K36" s="20">
        <f t="shared" si="6"/>
        <v>23066</v>
      </c>
      <c r="L36" s="20">
        <f t="shared" si="6"/>
        <v>20539</v>
      </c>
      <c r="M36" s="20">
        <f t="shared" si="6"/>
        <v>21747</v>
      </c>
      <c r="N36" s="20">
        <f t="shared" si="6"/>
        <v>21146</v>
      </c>
      <c r="O36" s="20">
        <f t="shared" si="6"/>
        <v>18245</v>
      </c>
      <c r="P36" s="11">
        <f t="shared" si="5"/>
        <v>260855</v>
      </c>
    </row>
    <row r="37" spans="1:16" ht="20.100000000000001" customHeight="1" x14ac:dyDescent="0.15">
      <c r="A37" s="201"/>
      <c r="B37" s="220" t="s">
        <v>124</v>
      </c>
      <c r="C37" s="30" t="s">
        <v>145</v>
      </c>
      <c r="D37" s="4">
        <v>27</v>
      </c>
      <c r="E37" s="22">
        <v>78</v>
      </c>
      <c r="F37" s="4">
        <v>55</v>
      </c>
      <c r="G37" s="4">
        <v>175</v>
      </c>
      <c r="H37" s="4">
        <v>110</v>
      </c>
      <c r="I37" s="4">
        <v>98</v>
      </c>
      <c r="J37" s="4">
        <v>132</v>
      </c>
      <c r="K37" s="4">
        <v>115</v>
      </c>
      <c r="L37" s="4">
        <v>301</v>
      </c>
      <c r="M37" s="4">
        <v>141</v>
      </c>
      <c r="N37" s="4">
        <v>186</v>
      </c>
      <c r="O37" s="4">
        <v>112</v>
      </c>
      <c r="P37" s="11">
        <f t="shared" si="5"/>
        <v>1530</v>
      </c>
    </row>
    <row r="38" spans="1:16" ht="20.100000000000001" customHeight="1" x14ac:dyDescent="0.15">
      <c r="A38" s="201"/>
      <c r="B38" s="221"/>
      <c r="C38" s="30" t="s">
        <v>46</v>
      </c>
      <c r="D38" s="4">
        <v>30</v>
      </c>
      <c r="E38" s="22">
        <v>112</v>
      </c>
      <c r="F38" s="4">
        <v>97</v>
      </c>
      <c r="G38" s="4">
        <v>191</v>
      </c>
      <c r="H38" s="4">
        <v>116</v>
      </c>
      <c r="I38" s="4">
        <v>178</v>
      </c>
      <c r="J38" s="4">
        <v>172</v>
      </c>
      <c r="K38" s="4">
        <v>158</v>
      </c>
      <c r="L38" s="4">
        <v>213</v>
      </c>
      <c r="M38" s="4">
        <v>130</v>
      </c>
      <c r="N38" s="4">
        <v>330</v>
      </c>
      <c r="O38" s="4">
        <v>167</v>
      </c>
      <c r="P38" s="11">
        <f t="shared" si="5"/>
        <v>1894</v>
      </c>
    </row>
    <row r="39" spans="1:16" ht="20.100000000000001" customHeight="1" x14ac:dyDescent="0.15">
      <c r="A39" s="201"/>
      <c r="B39" s="221"/>
      <c r="C39" s="30" t="s">
        <v>136</v>
      </c>
      <c r="D39" s="4">
        <v>100</v>
      </c>
      <c r="E39" s="22">
        <v>136</v>
      </c>
      <c r="F39" s="4">
        <v>220</v>
      </c>
      <c r="G39" s="4">
        <v>202</v>
      </c>
      <c r="H39" s="4">
        <v>213</v>
      </c>
      <c r="I39" s="4">
        <v>242</v>
      </c>
      <c r="J39" s="4">
        <v>268</v>
      </c>
      <c r="K39" s="4">
        <v>234</v>
      </c>
      <c r="L39" s="4">
        <v>139</v>
      </c>
      <c r="M39" s="4">
        <v>135</v>
      </c>
      <c r="N39" s="4">
        <v>380</v>
      </c>
      <c r="O39" s="4">
        <v>344</v>
      </c>
      <c r="P39" s="11">
        <f t="shared" si="5"/>
        <v>2613</v>
      </c>
    </row>
    <row r="40" spans="1:16" ht="20.100000000000001" customHeight="1" x14ac:dyDescent="0.15">
      <c r="A40" s="201"/>
      <c r="B40" s="221"/>
      <c r="C40" s="30" t="s">
        <v>66</v>
      </c>
      <c r="D40" s="4">
        <v>55</v>
      </c>
      <c r="E40" s="22">
        <v>80</v>
      </c>
      <c r="F40" s="4">
        <v>50</v>
      </c>
      <c r="G40" s="4">
        <v>197</v>
      </c>
      <c r="H40" s="4">
        <v>112</v>
      </c>
      <c r="I40" s="4">
        <v>88</v>
      </c>
      <c r="J40" s="4">
        <v>174</v>
      </c>
      <c r="K40" s="4">
        <v>87</v>
      </c>
      <c r="L40" s="4">
        <v>252</v>
      </c>
      <c r="M40" s="4">
        <v>47</v>
      </c>
      <c r="N40" s="4">
        <v>69</v>
      </c>
      <c r="O40" s="4">
        <v>258</v>
      </c>
      <c r="P40" s="11">
        <f t="shared" si="5"/>
        <v>1469</v>
      </c>
    </row>
    <row r="41" spans="1:16" ht="20.100000000000001" customHeight="1" x14ac:dyDescent="0.15">
      <c r="A41" s="201"/>
      <c r="B41" s="222"/>
      <c r="C41" s="19" t="s">
        <v>130</v>
      </c>
      <c r="D41" s="20">
        <f t="shared" ref="D41:O41" si="7">SUM(D37:D40)</f>
        <v>212</v>
      </c>
      <c r="E41" s="25">
        <f t="shared" si="7"/>
        <v>406</v>
      </c>
      <c r="F41" s="20">
        <f t="shared" si="7"/>
        <v>422</v>
      </c>
      <c r="G41" s="20">
        <f t="shared" si="7"/>
        <v>765</v>
      </c>
      <c r="H41" s="20">
        <f t="shared" si="7"/>
        <v>551</v>
      </c>
      <c r="I41" s="20">
        <f t="shared" si="7"/>
        <v>606</v>
      </c>
      <c r="J41" s="20">
        <f t="shared" si="7"/>
        <v>746</v>
      </c>
      <c r="K41" s="20">
        <f t="shared" si="7"/>
        <v>594</v>
      </c>
      <c r="L41" s="20">
        <f t="shared" si="7"/>
        <v>905</v>
      </c>
      <c r="M41" s="20">
        <f t="shared" si="7"/>
        <v>453</v>
      </c>
      <c r="N41" s="20">
        <f t="shared" si="7"/>
        <v>965</v>
      </c>
      <c r="O41" s="20">
        <f t="shared" si="7"/>
        <v>881</v>
      </c>
      <c r="P41" s="11">
        <f t="shared" si="5"/>
        <v>7506</v>
      </c>
    </row>
    <row r="42" spans="1:16" ht="20.100000000000001" customHeight="1" x14ac:dyDescent="0.15">
      <c r="A42" s="201"/>
      <c r="B42" s="216" t="s">
        <v>127</v>
      </c>
      <c r="C42" s="217"/>
      <c r="D42" s="4">
        <v>142</v>
      </c>
      <c r="E42" s="22">
        <v>201</v>
      </c>
      <c r="F42" s="4">
        <v>144</v>
      </c>
      <c r="G42" s="4">
        <v>257</v>
      </c>
      <c r="H42" s="4">
        <v>176</v>
      </c>
      <c r="I42" s="4">
        <v>141</v>
      </c>
      <c r="J42" s="4">
        <v>222</v>
      </c>
      <c r="K42" s="4">
        <v>87</v>
      </c>
      <c r="L42" s="4">
        <v>72</v>
      </c>
      <c r="M42" s="4">
        <v>129</v>
      </c>
      <c r="N42" s="4">
        <v>90</v>
      </c>
      <c r="O42" s="4">
        <v>174</v>
      </c>
      <c r="P42" s="11">
        <f t="shared" si="5"/>
        <v>1835</v>
      </c>
    </row>
    <row r="43" spans="1:16" ht="24.75" customHeight="1" x14ac:dyDescent="0.15">
      <c r="A43" s="201"/>
      <c r="B43" s="199" t="s">
        <v>146</v>
      </c>
      <c r="C43" s="199"/>
      <c r="D43" s="6">
        <f>D36+D41+D42</f>
        <v>21962</v>
      </c>
      <c r="E43" s="24">
        <f>E36+E41+E42</f>
        <v>21975</v>
      </c>
      <c r="F43" s="6">
        <f>F36+F41+F42</f>
        <v>21108</v>
      </c>
      <c r="G43" s="6">
        <f>G36+G41+G42</f>
        <v>23515</v>
      </c>
      <c r="H43" s="6">
        <f>H36+H41+H42</f>
        <v>24292</v>
      </c>
      <c r="I43" s="6">
        <f t="shared" ref="I43:O43" si="8">I36+I41+I42</f>
        <v>23048</v>
      </c>
      <c r="J43" s="6">
        <f t="shared" si="8"/>
        <v>25203</v>
      </c>
      <c r="K43" s="6">
        <f>K36+K41+K42</f>
        <v>23747</v>
      </c>
      <c r="L43" s="6">
        <f t="shared" si="8"/>
        <v>21516</v>
      </c>
      <c r="M43" s="6">
        <f t="shared" si="8"/>
        <v>22329</v>
      </c>
      <c r="N43" s="6">
        <f t="shared" si="8"/>
        <v>22201</v>
      </c>
      <c r="O43" s="6">
        <f t="shared" si="8"/>
        <v>19300</v>
      </c>
      <c r="P43" s="13">
        <f t="shared" si="5"/>
        <v>270196</v>
      </c>
    </row>
    <row r="44" spans="1:16" s="2" customFormat="1" ht="26.45" customHeight="1" x14ac:dyDescent="0.15">
      <c r="A44" s="202" t="s">
        <v>41</v>
      </c>
      <c r="B44" s="203"/>
      <c r="C44" s="203"/>
      <c r="D44" s="7">
        <f t="shared" ref="D44:O44" si="9">SUM(D18,D43)</f>
        <v>84687</v>
      </c>
      <c r="E44" s="26">
        <f t="shared" si="9"/>
        <v>77650</v>
      </c>
      <c r="F44" s="7">
        <f t="shared" si="9"/>
        <v>94137</v>
      </c>
      <c r="G44" s="7">
        <f t="shared" si="9"/>
        <v>88847</v>
      </c>
      <c r="H44" s="7">
        <f t="shared" si="9"/>
        <v>76631</v>
      </c>
      <c r="I44" s="7">
        <f t="shared" si="9"/>
        <v>89129</v>
      </c>
      <c r="J44" s="7">
        <f t="shared" si="9"/>
        <v>92957</v>
      </c>
      <c r="K44" s="7">
        <f t="shared" si="9"/>
        <v>64634</v>
      </c>
      <c r="L44" s="7">
        <f t="shared" si="9"/>
        <v>68440</v>
      </c>
      <c r="M44" s="7">
        <f t="shared" si="9"/>
        <v>82113</v>
      </c>
      <c r="N44" s="7">
        <f t="shared" si="9"/>
        <v>91294</v>
      </c>
      <c r="O44" s="7">
        <f t="shared" si="9"/>
        <v>106212</v>
      </c>
      <c r="P44" s="12">
        <f t="shared" si="5"/>
        <v>1016731</v>
      </c>
    </row>
    <row r="45" spans="1:16" ht="19.5" customHeight="1" x14ac:dyDescent="0.15">
      <c r="A45" s="204" t="s">
        <v>96</v>
      </c>
      <c r="B45" s="205"/>
      <c r="C45" s="205"/>
      <c r="D45" s="4">
        <v>22181</v>
      </c>
      <c r="E45" s="22">
        <v>23420</v>
      </c>
      <c r="F45" s="4">
        <v>28756</v>
      </c>
      <c r="G45" s="4">
        <v>23287</v>
      </c>
      <c r="H45" s="4">
        <v>23618</v>
      </c>
      <c r="I45" s="4">
        <v>24975</v>
      </c>
      <c r="J45" s="4">
        <v>21586</v>
      </c>
      <c r="K45" s="4">
        <v>19608</v>
      </c>
      <c r="L45" s="4">
        <v>22611</v>
      </c>
      <c r="M45" s="4">
        <v>22315</v>
      </c>
      <c r="N45" s="4">
        <v>36473</v>
      </c>
      <c r="O45" s="4">
        <v>34280</v>
      </c>
      <c r="P45" s="11">
        <f t="shared" si="5"/>
        <v>303110</v>
      </c>
    </row>
    <row r="46" spans="1:16" ht="20.100000000000001" customHeight="1" x14ac:dyDescent="0.15">
      <c r="A46" s="218" t="s">
        <v>129</v>
      </c>
      <c r="B46" s="219"/>
      <c r="C46" s="217"/>
      <c r="D46" s="16">
        <v>1914</v>
      </c>
      <c r="E46" s="22">
        <v>572</v>
      </c>
      <c r="F46" s="16">
        <v>1034</v>
      </c>
      <c r="G46" s="16">
        <v>1247</v>
      </c>
      <c r="H46" s="16">
        <v>1071</v>
      </c>
      <c r="I46" s="16">
        <v>1537</v>
      </c>
      <c r="J46" s="16">
        <v>1470</v>
      </c>
      <c r="K46" s="16">
        <v>1356</v>
      </c>
      <c r="L46" s="16">
        <v>1988</v>
      </c>
      <c r="M46" s="16">
        <v>1259</v>
      </c>
      <c r="N46" s="16">
        <v>1454</v>
      </c>
      <c r="O46" s="16">
        <v>2351</v>
      </c>
      <c r="P46" s="17">
        <f t="shared" si="5"/>
        <v>17253</v>
      </c>
    </row>
    <row r="47" spans="1:16" s="2" customFormat="1" ht="27.75" customHeight="1" thickBot="1" x14ac:dyDescent="0.2">
      <c r="A47" s="197" t="s">
        <v>42</v>
      </c>
      <c r="B47" s="198"/>
      <c r="C47" s="198"/>
      <c r="D47" s="21">
        <f t="shared" ref="D47:O47" si="10">D44+D45+D46</f>
        <v>108782</v>
      </c>
      <c r="E47" s="21">
        <f t="shared" si="10"/>
        <v>101642</v>
      </c>
      <c r="F47" s="21">
        <f t="shared" si="10"/>
        <v>123927</v>
      </c>
      <c r="G47" s="21">
        <f t="shared" si="10"/>
        <v>113381</v>
      </c>
      <c r="H47" s="21">
        <f t="shared" si="10"/>
        <v>101320</v>
      </c>
      <c r="I47" s="21">
        <f t="shared" si="10"/>
        <v>115641</v>
      </c>
      <c r="J47" s="21">
        <f t="shared" si="10"/>
        <v>116013</v>
      </c>
      <c r="K47" s="21">
        <f t="shared" si="10"/>
        <v>85598</v>
      </c>
      <c r="L47" s="21">
        <f t="shared" si="10"/>
        <v>93039</v>
      </c>
      <c r="M47" s="21">
        <f t="shared" si="10"/>
        <v>105687</v>
      </c>
      <c r="N47" s="21">
        <f>N44+N45+N46</f>
        <v>129221</v>
      </c>
      <c r="O47" s="21">
        <f t="shared" si="10"/>
        <v>142843</v>
      </c>
      <c r="P47" s="14">
        <f>SUM(D47:O47)</f>
        <v>1337094</v>
      </c>
    </row>
    <row r="48" spans="1:16" ht="20.100000000000001" customHeight="1" x14ac:dyDescent="0.15"/>
  </sheetData>
  <mergeCells count="17">
    <mergeCell ref="A1:P1"/>
    <mergeCell ref="A2:C2"/>
    <mergeCell ref="A3:A18"/>
    <mergeCell ref="B3:B9"/>
    <mergeCell ref="B10:B15"/>
    <mergeCell ref="B16:C16"/>
    <mergeCell ref="B17:C17"/>
    <mergeCell ref="B18:C18"/>
    <mergeCell ref="A45:C45"/>
    <mergeCell ref="A46:C46"/>
    <mergeCell ref="A47:C47"/>
    <mergeCell ref="A19:A43"/>
    <mergeCell ref="B19:B36"/>
    <mergeCell ref="B37:B41"/>
    <mergeCell ref="B42:C42"/>
    <mergeCell ref="B43:C43"/>
    <mergeCell ref="A44:C44"/>
  </mergeCells>
  <phoneticPr fontId="14" type="noConversion"/>
  <pageMargins left="1.34" right="0.51181102362204722" top="0.72" bottom="0.35433070866141736" header="0.11811023622047245" footer="0.11811023622047245"/>
  <pageSetup paperSize="9" scale="54" fitToWidth="2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P48"/>
  <sheetViews>
    <sheetView workbookViewId="0">
      <pane xSplit="3" ySplit="2" topLeftCell="D3" activePane="bottomRight" state="frozen"/>
      <selection pane="topRight" activeCell="D1" sqref="D1"/>
      <selection pane="bottomLeft" activeCell="A3" sqref="A3"/>
      <selection pane="bottomRight" activeCell="D47" sqref="D47:J47"/>
    </sheetView>
  </sheetViews>
  <sheetFormatPr defaultRowHeight="13.5" x14ac:dyDescent="0.15"/>
  <cols>
    <col min="1" max="1" width="5.21875" customWidth="1"/>
    <col min="2" max="2" width="5.44140625" customWidth="1"/>
    <col min="3" max="3" width="11.44140625" customWidth="1"/>
    <col min="4" max="15" width="13.5546875" customWidth="1"/>
    <col min="16" max="16" width="14.6640625" style="2" customWidth="1"/>
  </cols>
  <sheetData>
    <row r="1" spans="1:16" ht="51" customHeight="1" thickBot="1" x14ac:dyDescent="0.2">
      <c r="A1" s="207" t="s">
        <v>141</v>
      </c>
      <c r="B1" s="208"/>
      <c r="C1" s="208"/>
      <c r="D1" s="208"/>
      <c r="E1" s="208"/>
      <c r="F1" s="208"/>
      <c r="G1" s="208"/>
      <c r="H1" s="208"/>
      <c r="I1" s="208"/>
      <c r="J1" s="208"/>
      <c r="K1" s="208"/>
      <c r="L1" s="208"/>
      <c r="M1" s="208"/>
      <c r="N1" s="208"/>
      <c r="O1" s="208"/>
      <c r="P1" s="208"/>
    </row>
    <row r="2" spans="1:16" ht="25.5" customHeight="1" x14ac:dyDescent="0.15">
      <c r="A2" s="209" t="s">
        <v>13</v>
      </c>
      <c r="B2" s="210"/>
      <c r="C2" s="210"/>
      <c r="D2" s="28" t="s">
        <v>0</v>
      </c>
      <c r="E2" s="28" t="s">
        <v>1</v>
      </c>
      <c r="F2" s="28" t="s">
        <v>2</v>
      </c>
      <c r="G2" s="28" t="s">
        <v>3</v>
      </c>
      <c r="H2" s="28" t="s">
        <v>4</v>
      </c>
      <c r="I2" s="28" t="s">
        <v>5</v>
      </c>
      <c r="J2" s="28" t="s">
        <v>6</v>
      </c>
      <c r="K2" s="28" t="s">
        <v>7</v>
      </c>
      <c r="L2" s="28" t="s">
        <v>8</v>
      </c>
      <c r="M2" s="28" t="s">
        <v>9</v>
      </c>
      <c r="N2" s="28" t="s">
        <v>10</v>
      </c>
      <c r="O2" s="28" t="s">
        <v>11</v>
      </c>
      <c r="P2" s="9" t="s">
        <v>44</v>
      </c>
    </row>
    <row r="3" spans="1:16" ht="19.899999999999999" customHeight="1" x14ac:dyDescent="0.15">
      <c r="A3" s="200" t="s">
        <v>14</v>
      </c>
      <c r="B3" s="206" t="s">
        <v>122</v>
      </c>
      <c r="C3" s="27" t="s">
        <v>16</v>
      </c>
      <c r="D3" s="4">
        <v>42348</v>
      </c>
      <c r="E3" s="22">
        <v>50581</v>
      </c>
      <c r="F3" s="4">
        <v>54761</v>
      </c>
      <c r="G3" s="4">
        <v>52544</v>
      </c>
      <c r="H3" s="4">
        <v>47026</v>
      </c>
      <c r="I3" s="4">
        <v>43525</v>
      </c>
      <c r="J3" s="4">
        <v>53324</v>
      </c>
      <c r="K3" s="4">
        <v>37306</v>
      </c>
      <c r="L3" s="4">
        <v>57531</v>
      </c>
      <c r="M3" s="4">
        <v>31528</v>
      </c>
      <c r="N3" s="4">
        <v>57807</v>
      </c>
      <c r="O3" s="4">
        <v>44097</v>
      </c>
      <c r="P3" s="11">
        <f t="shared" ref="P3:P17" si="0">SUM(D3:O3)</f>
        <v>572378</v>
      </c>
    </row>
    <row r="4" spans="1:16" ht="19.899999999999999" customHeight="1" x14ac:dyDescent="0.15">
      <c r="A4" s="200"/>
      <c r="B4" s="205"/>
      <c r="C4" s="27" t="s">
        <v>17</v>
      </c>
      <c r="D4" s="4">
        <f>1553+1285</f>
        <v>2838</v>
      </c>
      <c r="E4" s="22">
        <f>1603+232</f>
        <v>1835</v>
      </c>
      <c r="F4" s="4">
        <f>2989+149</f>
        <v>3138</v>
      </c>
      <c r="G4" s="4">
        <f>147+2253</f>
        <v>2400</v>
      </c>
      <c r="H4" s="4">
        <v>5611</v>
      </c>
      <c r="I4" s="4">
        <f>4554+1060</f>
        <v>5614</v>
      </c>
      <c r="J4" s="4">
        <f>3079+2720</f>
        <v>5799</v>
      </c>
      <c r="K4" s="4">
        <f>2551+971</f>
        <v>3522</v>
      </c>
      <c r="L4" s="4">
        <f>5326+1576</f>
        <v>6902</v>
      </c>
      <c r="M4" s="4">
        <f>4210+2256</f>
        <v>6466</v>
      </c>
      <c r="N4" s="4">
        <f>8004+346</f>
        <v>8350</v>
      </c>
      <c r="O4" s="4">
        <v>6571</v>
      </c>
      <c r="P4" s="11">
        <f t="shared" si="0"/>
        <v>59046</v>
      </c>
    </row>
    <row r="5" spans="1:16" ht="19.899999999999999" customHeight="1" x14ac:dyDescent="0.15">
      <c r="A5" s="200"/>
      <c r="B5" s="205"/>
      <c r="C5" s="27" t="s">
        <v>18</v>
      </c>
      <c r="D5" s="4">
        <v>4045</v>
      </c>
      <c r="E5" s="22">
        <v>2555</v>
      </c>
      <c r="F5" s="4">
        <v>2808</v>
      </c>
      <c r="G5" s="4">
        <v>3142</v>
      </c>
      <c r="H5" s="4">
        <v>2275</v>
      </c>
      <c r="I5" s="4">
        <v>2421</v>
      </c>
      <c r="J5" s="4">
        <v>2450</v>
      </c>
      <c r="K5" s="4">
        <v>1953</v>
      </c>
      <c r="L5" s="4">
        <v>3772</v>
      </c>
      <c r="M5" s="4">
        <v>2488</v>
      </c>
      <c r="N5" s="4">
        <v>4035</v>
      </c>
      <c r="O5" s="4">
        <v>3665</v>
      </c>
      <c r="P5" s="11">
        <f t="shared" si="0"/>
        <v>35609</v>
      </c>
    </row>
    <row r="6" spans="1:16" ht="19.899999999999999" customHeight="1" x14ac:dyDescent="0.15">
      <c r="A6" s="200"/>
      <c r="B6" s="205"/>
      <c r="C6" s="27" t="s">
        <v>118</v>
      </c>
      <c r="D6" s="4"/>
      <c r="E6" s="22"/>
      <c r="F6" s="4"/>
      <c r="G6" s="4"/>
      <c r="H6" s="4"/>
      <c r="I6" s="4"/>
      <c r="J6" s="4"/>
      <c r="K6" s="4"/>
      <c r="L6" s="4"/>
      <c r="M6" s="4"/>
      <c r="N6" s="4"/>
      <c r="O6" s="4"/>
      <c r="P6" s="11">
        <f t="shared" si="0"/>
        <v>0</v>
      </c>
    </row>
    <row r="7" spans="1:16" ht="19.899999999999999" customHeight="1" x14ac:dyDescent="0.15">
      <c r="A7" s="200"/>
      <c r="B7" s="205"/>
      <c r="C7" s="27" t="s">
        <v>119</v>
      </c>
      <c r="D7" s="4"/>
      <c r="E7" s="22"/>
      <c r="F7" s="4"/>
      <c r="G7" s="4"/>
      <c r="H7" s="4"/>
      <c r="I7" s="4"/>
      <c r="J7" s="4"/>
      <c r="K7" s="4"/>
      <c r="L7" s="4"/>
      <c r="M7" s="4"/>
      <c r="N7" s="4"/>
      <c r="O7" s="4"/>
      <c r="P7" s="11">
        <f t="shared" si="0"/>
        <v>0</v>
      </c>
    </row>
    <row r="8" spans="1:16" ht="19.899999999999999" customHeight="1" x14ac:dyDescent="0.15">
      <c r="A8" s="200"/>
      <c r="B8" s="205"/>
      <c r="C8" s="27" t="s">
        <v>19</v>
      </c>
      <c r="D8" s="4">
        <v>427</v>
      </c>
      <c r="E8" s="22">
        <v>120</v>
      </c>
      <c r="F8" s="4">
        <v>1503</v>
      </c>
      <c r="G8" s="4">
        <v>2547</v>
      </c>
      <c r="H8" s="4">
        <v>1569</v>
      </c>
      <c r="I8" s="4">
        <v>48</v>
      </c>
      <c r="J8" s="4">
        <v>3</v>
      </c>
      <c r="K8" s="4">
        <v>1166</v>
      </c>
      <c r="L8" s="4">
        <v>2402</v>
      </c>
      <c r="M8" s="4">
        <v>4497</v>
      </c>
      <c r="N8" s="4">
        <v>1072</v>
      </c>
      <c r="O8" s="4">
        <v>58</v>
      </c>
      <c r="P8" s="11">
        <f t="shared" si="0"/>
        <v>15412</v>
      </c>
    </row>
    <row r="9" spans="1:16" ht="19.899999999999999" customHeight="1" x14ac:dyDescent="0.15">
      <c r="A9" s="200"/>
      <c r="B9" s="205"/>
      <c r="C9" s="3" t="s">
        <v>22</v>
      </c>
      <c r="D9" s="5">
        <f t="shared" ref="D9:N9" si="1">SUM(D3:D8)</f>
        <v>49658</v>
      </c>
      <c r="E9" s="5">
        <f t="shared" si="1"/>
        <v>55091</v>
      </c>
      <c r="F9" s="5">
        <f t="shared" si="1"/>
        <v>62210</v>
      </c>
      <c r="G9" s="5">
        <f t="shared" si="1"/>
        <v>60633</v>
      </c>
      <c r="H9" s="5">
        <f t="shared" si="1"/>
        <v>56481</v>
      </c>
      <c r="I9" s="5">
        <f t="shared" si="1"/>
        <v>51608</v>
      </c>
      <c r="J9" s="5">
        <f t="shared" si="1"/>
        <v>61576</v>
      </c>
      <c r="K9" s="5">
        <f t="shared" si="1"/>
        <v>43947</v>
      </c>
      <c r="L9" s="5">
        <f t="shared" si="1"/>
        <v>70607</v>
      </c>
      <c r="M9" s="5">
        <f t="shared" si="1"/>
        <v>44979</v>
      </c>
      <c r="N9" s="5">
        <f t="shared" si="1"/>
        <v>71264</v>
      </c>
      <c r="O9" s="5">
        <v>50668</v>
      </c>
      <c r="P9" s="11">
        <f t="shared" si="0"/>
        <v>678722</v>
      </c>
    </row>
    <row r="10" spans="1:16" ht="19.899999999999999" customHeight="1" x14ac:dyDescent="0.15">
      <c r="A10" s="200"/>
      <c r="B10" s="211" t="s">
        <v>123</v>
      </c>
      <c r="C10" s="15" t="s">
        <v>120</v>
      </c>
      <c r="D10" s="18">
        <v>14</v>
      </c>
      <c r="E10" s="22">
        <v>20</v>
      </c>
      <c r="F10" s="18">
        <v>0</v>
      </c>
      <c r="G10" s="18">
        <v>9</v>
      </c>
      <c r="H10" s="18">
        <v>10</v>
      </c>
      <c r="I10" s="18">
        <v>2</v>
      </c>
      <c r="J10" s="18">
        <v>14</v>
      </c>
      <c r="K10" s="18">
        <v>14</v>
      </c>
      <c r="L10" s="18">
        <v>24</v>
      </c>
      <c r="M10" s="18"/>
      <c r="N10" s="18">
        <v>7</v>
      </c>
      <c r="O10" s="18">
        <v>27</v>
      </c>
      <c r="P10" s="11">
        <f t="shared" si="0"/>
        <v>141</v>
      </c>
    </row>
    <row r="11" spans="1:16" ht="19.899999999999999" customHeight="1" x14ac:dyDescent="0.15">
      <c r="A11" s="200"/>
      <c r="B11" s="212"/>
      <c r="C11" s="15" t="s">
        <v>17</v>
      </c>
      <c r="D11" s="18"/>
      <c r="E11" s="22">
        <v>51</v>
      </c>
      <c r="F11" s="18">
        <v>22</v>
      </c>
      <c r="G11" s="18">
        <v>50</v>
      </c>
      <c r="H11" s="18">
        <v>49</v>
      </c>
      <c r="I11" s="18">
        <v>18</v>
      </c>
      <c r="J11" s="18"/>
      <c r="K11" s="18">
        <v>1</v>
      </c>
      <c r="L11" s="18"/>
      <c r="M11" s="18">
        <v>3</v>
      </c>
      <c r="N11" s="18">
        <v>1</v>
      </c>
      <c r="O11" s="18">
        <v>22</v>
      </c>
      <c r="P11" s="11">
        <f t="shared" si="0"/>
        <v>217</v>
      </c>
    </row>
    <row r="12" spans="1:16" ht="19.899999999999999" customHeight="1" x14ac:dyDescent="0.15">
      <c r="A12" s="200"/>
      <c r="B12" s="212"/>
      <c r="C12" s="15" t="s">
        <v>132</v>
      </c>
      <c r="D12" s="18">
        <v>11</v>
      </c>
      <c r="E12" s="22">
        <v>26</v>
      </c>
      <c r="F12" s="18">
        <v>5</v>
      </c>
      <c r="G12" s="18">
        <v>5</v>
      </c>
      <c r="H12" s="18">
        <v>2</v>
      </c>
      <c r="I12" s="18">
        <v>1</v>
      </c>
      <c r="J12" s="18"/>
      <c r="K12" s="18"/>
      <c r="L12" s="18">
        <v>7</v>
      </c>
      <c r="M12" s="18"/>
      <c r="N12" s="18">
        <v>14</v>
      </c>
      <c r="O12" s="18"/>
      <c r="P12" s="11">
        <f t="shared" si="0"/>
        <v>71</v>
      </c>
    </row>
    <row r="13" spans="1:16" ht="19.899999999999999" customHeight="1" x14ac:dyDescent="0.15">
      <c r="A13" s="200"/>
      <c r="B13" s="212"/>
      <c r="C13" s="15" t="s">
        <v>138</v>
      </c>
      <c r="D13" s="18">
        <v>102</v>
      </c>
      <c r="E13" s="22">
        <v>149</v>
      </c>
      <c r="F13" s="18">
        <v>208</v>
      </c>
      <c r="G13" s="18">
        <v>176</v>
      </c>
      <c r="H13" s="18">
        <v>137</v>
      </c>
      <c r="I13" s="18">
        <v>140</v>
      </c>
      <c r="J13" s="18">
        <v>170</v>
      </c>
      <c r="K13" s="18">
        <v>85</v>
      </c>
      <c r="L13" s="18">
        <v>487</v>
      </c>
      <c r="M13" s="18">
        <v>131</v>
      </c>
      <c r="N13" s="18">
        <v>362</v>
      </c>
      <c r="O13" s="18">
        <v>165</v>
      </c>
      <c r="P13" s="11">
        <f t="shared" si="0"/>
        <v>2312</v>
      </c>
    </row>
    <row r="14" spans="1:16" ht="19.899999999999999" customHeight="1" x14ac:dyDescent="0.15">
      <c r="A14" s="200"/>
      <c r="B14" s="212"/>
      <c r="C14" s="15" t="s">
        <v>137</v>
      </c>
      <c r="D14" s="18">
        <v>48</v>
      </c>
      <c r="E14" s="22">
        <v>65</v>
      </c>
      <c r="F14" s="18">
        <v>12</v>
      </c>
      <c r="G14" s="18">
        <v>39</v>
      </c>
      <c r="H14" s="18">
        <v>7</v>
      </c>
      <c r="I14" s="18">
        <v>35</v>
      </c>
      <c r="J14" s="18">
        <v>17</v>
      </c>
      <c r="K14" s="18">
        <v>50</v>
      </c>
      <c r="L14" s="18">
        <v>65</v>
      </c>
      <c r="M14" s="18">
        <v>18</v>
      </c>
      <c r="N14" s="18">
        <v>32</v>
      </c>
      <c r="O14" s="18">
        <v>21</v>
      </c>
      <c r="P14" s="11">
        <f t="shared" si="0"/>
        <v>409</v>
      </c>
    </row>
    <row r="15" spans="1:16" ht="19.899999999999999" customHeight="1" x14ac:dyDescent="0.15">
      <c r="A15" s="200"/>
      <c r="B15" s="213"/>
      <c r="C15" s="3" t="s">
        <v>22</v>
      </c>
      <c r="D15" s="5">
        <f t="shared" ref="D15:O15" si="2">SUM(D10:D14)</f>
        <v>175</v>
      </c>
      <c r="E15" s="5">
        <f t="shared" si="2"/>
        <v>311</v>
      </c>
      <c r="F15" s="5">
        <f t="shared" si="2"/>
        <v>247</v>
      </c>
      <c r="G15" s="5">
        <f t="shared" si="2"/>
        <v>279</v>
      </c>
      <c r="H15" s="5">
        <f t="shared" si="2"/>
        <v>205</v>
      </c>
      <c r="I15" s="5">
        <f t="shared" si="2"/>
        <v>196</v>
      </c>
      <c r="J15" s="5">
        <f t="shared" si="2"/>
        <v>201</v>
      </c>
      <c r="K15" s="5">
        <f t="shared" si="2"/>
        <v>150</v>
      </c>
      <c r="L15" s="5">
        <f t="shared" si="2"/>
        <v>583</v>
      </c>
      <c r="M15" s="5">
        <f t="shared" si="2"/>
        <v>152</v>
      </c>
      <c r="N15" s="5">
        <f t="shared" si="2"/>
        <v>416</v>
      </c>
      <c r="O15" s="5">
        <f t="shared" si="2"/>
        <v>235</v>
      </c>
      <c r="P15" s="11">
        <f t="shared" si="0"/>
        <v>3150</v>
      </c>
    </row>
    <row r="16" spans="1:16" ht="19.5" customHeight="1" x14ac:dyDescent="0.15">
      <c r="A16" s="200"/>
      <c r="B16" s="214" t="s">
        <v>20</v>
      </c>
      <c r="C16" s="215"/>
      <c r="D16" s="18">
        <v>467</v>
      </c>
      <c r="E16" s="22">
        <v>686</v>
      </c>
      <c r="F16" s="18">
        <v>611</v>
      </c>
      <c r="G16" s="18">
        <v>967</v>
      </c>
      <c r="H16" s="18">
        <v>1054</v>
      </c>
      <c r="I16" s="18">
        <v>826</v>
      </c>
      <c r="J16" s="18">
        <v>743</v>
      </c>
      <c r="K16" s="18">
        <v>643</v>
      </c>
      <c r="L16" s="18">
        <v>1202</v>
      </c>
      <c r="M16" s="18">
        <v>826</v>
      </c>
      <c r="N16" s="18">
        <v>655</v>
      </c>
      <c r="O16" s="18">
        <v>62</v>
      </c>
      <c r="P16" s="11">
        <f t="shared" si="0"/>
        <v>8742</v>
      </c>
    </row>
    <row r="17" spans="1:16" ht="19.899999999999999" customHeight="1" x14ac:dyDescent="0.15">
      <c r="A17" s="200"/>
      <c r="B17" s="205" t="s">
        <v>127</v>
      </c>
      <c r="C17" s="205"/>
      <c r="D17" s="4">
        <v>238</v>
      </c>
      <c r="E17" s="22">
        <v>83</v>
      </c>
      <c r="F17" s="4">
        <v>77</v>
      </c>
      <c r="G17" s="4">
        <v>107</v>
      </c>
      <c r="H17" s="4">
        <v>72</v>
      </c>
      <c r="I17" s="4">
        <v>121</v>
      </c>
      <c r="J17" s="4">
        <v>39</v>
      </c>
      <c r="K17" s="4">
        <v>121</v>
      </c>
      <c r="L17" s="4">
        <v>116</v>
      </c>
      <c r="M17" s="4">
        <v>108</v>
      </c>
      <c r="N17" s="4">
        <v>98</v>
      </c>
      <c r="O17" s="4">
        <v>139</v>
      </c>
      <c r="P17" s="11">
        <f t="shared" si="0"/>
        <v>1319</v>
      </c>
    </row>
    <row r="18" spans="1:16" ht="26.45" customHeight="1" x14ac:dyDescent="0.15">
      <c r="A18" s="200"/>
      <c r="B18" s="199" t="s">
        <v>39</v>
      </c>
      <c r="C18" s="199"/>
      <c r="D18" s="6">
        <f t="shared" ref="D18:O18" si="3">D9+D17+D15+D16</f>
        <v>50538</v>
      </c>
      <c r="E18" s="6">
        <f t="shared" si="3"/>
        <v>56171</v>
      </c>
      <c r="F18" s="6">
        <f t="shared" si="3"/>
        <v>63145</v>
      </c>
      <c r="G18" s="6">
        <f t="shared" si="3"/>
        <v>61986</v>
      </c>
      <c r="H18" s="6">
        <f t="shared" si="3"/>
        <v>57812</v>
      </c>
      <c r="I18" s="6">
        <f t="shared" si="3"/>
        <v>52751</v>
      </c>
      <c r="J18" s="6">
        <f t="shared" si="3"/>
        <v>62559</v>
      </c>
      <c r="K18" s="6">
        <f t="shared" si="3"/>
        <v>44861</v>
      </c>
      <c r="L18" s="6">
        <f t="shared" si="3"/>
        <v>72508</v>
      </c>
      <c r="M18" s="6">
        <f t="shared" si="3"/>
        <v>46065</v>
      </c>
      <c r="N18" s="6">
        <f t="shared" si="3"/>
        <v>72433</v>
      </c>
      <c r="O18" s="6">
        <f t="shared" si="3"/>
        <v>51104</v>
      </c>
      <c r="P18" s="13">
        <f t="shared" ref="P18:P28" si="4">SUM(D18:O18)</f>
        <v>691933</v>
      </c>
    </row>
    <row r="19" spans="1:16" ht="19.5" customHeight="1" x14ac:dyDescent="0.15">
      <c r="A19" s="200" t="s">
        <v>21</v>
      </c>
      <c r="B19" s="211" t="s">
        <v>125</v>
      </c>
      <c r="C19" s="27" t="s">
        <v>25</v>
      </c>
      <c r="D19" s="4">
        <v>1840</v>
      </c>
      <c r="E19" s="22">
        <v>1920</v>
      </c>
      <c r="F19" s="4">
        <v>6198</v>
      </c>
      <c r="G19" s="4">
        <v>6563</v>
      </c>
      <c r="H19" s="4">
        <v>5836</v>
      </c>
      <c r="I19" s="4">
        <v>6324</v>
      </c>
      <c r="J19" s="4">
        <v>7022</v>
      </c>
      <c r="K19" s="4">
        <v>5744</v>
      </c>
      <c r="L19" s="4">
        <v>2411</v>
      </c>
      <c r="M19" s="4">
        <v>4476</v>
      </c>
      <c r="N19" s="4">
        <v>7036</v>
      </c>
      <c r="O19" s="4">
        <v>8700</v>
      </c>
      <c r="P19" s="11">
        <f t="shared" si="4"/>
        <v>64070</v>
      </c>
    </row>
    <row r="20" spans="1:16" ht="20.100000000000001" customHeight="1" x14ac:dyDescent="0.15">
      <c r="A20" s="201"/>
      <c r="B20" s="212"/>
      <c r="C20" s="27" t="s">
        <v>26</v>
      </c>
      <c r="D20" s="4">
        <v>6967</v>
      </c>
      <c r="E20" s="22">
        <v>1977</v>
      </c>
      <c r="F20" s="4">
        <v>5520</v>
      </c>
      <c r="G20" s="4">
        <v>4847</v>
      </c>
      <c r="H20" s="4">
        <v>5968</v>
      </c>
      <c r="I20" s="4">
        <v>6319</v>
      </c>
      <c r="J20" s="4">
        <v>5308</v>
      </c>
      <c r="K20" s="4">
        <v>6187</v>
      </c>
      <c r="L20" s="4">
        <v>3095</v>
      </c>
      <c r="M20" s="4">
        <v>7499</v>
      </c>
      <c r="N20" s="4">
        <v>6815</v>
      </c>
      <c r="O20" s="4">
        <v>8800</v>
      </c>
      <c r="P20" s="11">
        <f t="shared" si="4"/>
        <v>69302</v>
      </c>
    </row>
    <row r="21" spans="1:16" ht="20.100000000000001" customHeight="1" x14ac:dyDescent="0.15">
      <c r="A21" s="201"/>
      <c r="B21" s="212"/>
      <c r="C21" s="27" t="s">
        <v>23</v>
      </c>
      <c r="D21" s="4"/>
      <c r="E21" s="22"/>
      <c r="F21" s="4">
        <v>145</v>
      </c>
      <c r="G21" s="4">
        <v>92</v>
      </c>
      <c r="H21" s="4"/>
      <c r="I21" s="4"/>
      <c r="J21" s="4"/>
      <c r="K21" s="4"/>
      <c r="L21" s="4"/>
      <c r="M21" s="4"/>
      <c r="N21" s="4">
        <v>155</v>
      </c>
      <c r="O21" s="4">
        <v>1</v>
      </c>
      <c r="P21" s="11">
        <f t="shared" si="4"/>
        <v>393</v>
      </c>
    </row>
    <row r="22" spans="1:16" ht="20.100000000000001" customHeight="1" x14ac:dyDescent="0.15">
      <c r="A22" s="201"/>
      <c r="B22" s="212"/>
      <c r="C22" s="27" t="s">
        <v>24</v>
      </c>
      <c r="D22" s="4"/>
      <c r="E22" s="22"/>
      <c r="F22" s="4">
        <v>0</v>
      </c>
      <c r="G22" s="4"/>
      <c r="H22" s="4"/>
      <c r="I22" s="4"/>
      <c r="J22" s="4"/>
      <c r="K22" s="4"/>
      <c r="L22" s="4"/>
      <c r="M22" s="4"/>
      <c r="N22" s="4">
        <v>0</v>
      </c>
      <c r="O22" s="4"/>
      <c r="P22" s="11">
        <f t="shared" si="4"/>
        <v>0</v>
      </c>
    </row>
    <row r="23" spans="1:16" ht="20.100000000000001" customHeight="1" x14ac:dyDescent="0.15">
      <c r="A23" s="201"/>
      <c r="B23" s="212"/>
      <c r="C23" s="27" t="s">
        <v>28</v>
      </c>
      <c r="D23" s="4">
        <v>911</v>
      </c>
      <c r="E23" s="22">
        <v>1005</v>
      </c>
      <c r="F23" s="4">
        <v>862</v>
      </c>
      <c r="G23" s="4">
        <v>796</v>
      </c>
      <c r="H23" s="4">
        <v>1106</v>
      </c>
      <c r="I23" s="4">
        <v>1034</v>
      </c>
      <c r="J23" s="4">
        <v>922</v>
      </c>
      <c r="K23" s="4">
        <v>719</v>
      </c>
      <c r="L23" s="4">
        <v>506</v>
      </c>
      <c r="M23" s="4">
        <v>1323</v>
      </c>
      <c r="N23" s="4">
        <v>1000</v>
      </c>
      <c r="O23" s="4">
        <v>688</v>
      </c>
      <c r="P23" s="11">
        <f t="shared" si="4"/>
        <v>10872</v>
      </c>
    </row>
    <row r="24" spans="1:16" ht="20.100000000000001" customHeight="1" x14ac:dyDescent="0.15">
      <c r="A24" s="201"/>
      <c r="B24" s="212"/>
      <c r="C24" s="27" t="s">
        <v>29</v>
      </c>
      <c r="D24" s="4">
        <v>310</v>
      </c>
      <c r="E24" s="22">
        <v>268</v>
      </c>
      <c r="F24" s="4">
        <v>309</v>
      </c>
      <c r="G24" s="4">
        <v>256</v>
      </c>
      <c r="H24" s="4">
        <v>158</v>
      </c>
      <c r="I24" s="4">
        <v>120</v>
      </c>
      <c r="J24" s="4">
        <v>68</v>
      </c>
      <c r="K24" s="4">
        <v>223</v>
      </c>
      <c r="L24" s="4">
        <v>163</v>
      </c>
      <c r="M24" s="4">
        <v>252</v>
      </c>
      <c r="N24" s="4">
        <v>446</v>
      </c>
      <c r="O24" s="4">
        <v>342</v>
      </c>
      <c r="P24" s="11">
        <f t="shared" si="4"/>
        <v>2915</v>
      </c>
    </row>
    <row r="25" spans="1:16" ht="20.100000000000001" customHeight="1" x14ac:dyDescent="0.15">
      <c r="A25" s="201"/>
      <c r="B25" s="212"/>
      <c r="C25" s="27" t="s">
        <v>30</v>
      </c>
      <c r="D25" s="4">
        <v>1103</v>
      </c>
      <c r="E25" s="22">
        <v>343</v>
      </c>
      <c r="F25" s="4">
        <v>643</v>
      </c>
      <c r="G25" s="4">
        <v>353</v>
      </c>
      <c r="H25" s="4">
        <v>437</v>
      </c>
      <c r="I25" s="4">
        <v>1083</v>
      </c>
      <c r="J25" s="4">
        <v>462</v>
      </c>
      <c r="K25" s="4">
        <v>1354</v>
      </c>
      <c r="L25" s="4">
        <v>837</v>
      </c>
      <c r="M25" s="4">
        <v>1618</v>
      </c>
      <c r="N25" s="4">
        <v>1194</v>
      </c>
      <c r="O25" s="4">
        <v>927</v>
      </c>
      <c r="P25" s="11">
        <f t="shared" si="4"/>
        <v>10354</v>
      </c>
    </row>
    <row r="26" spans="1:16" ht="20.100000000000001" customHeight="1" x14ac:dyDescent="0.15">
      <c r="A26" s="201"/>
      <c r="B26" s="212"/>
      <c r="C26" s="27" t="s">
        <v>34</v>
      </c>
      <c r="D26" s="4">
        <v>867</v>
      </c>
      <c r="E26" s="22">
        <v>439</v>
      </c>
      <c r="F26" s="4">
        <v>870</v>
      </c>
      <c r="G26" s="4">
        <v>1204</v>
      </c>
      <c r="H26" s="4">
        <v>1519</v>
      </c>
      <c r="I26" s="4">
        <v>300</v>
      </c>
      <c r="J26" s="4">
        <v>792</v>
      </c>
      <c r="K26" s="4">
        <v>664</v>
      </c>
      <c r="L26" s="4">
        <v>1790</v>
      </c>
      <c r="M26" s="4">
        <v>197</v>
      </c>
      <c r="N26" s="4">
        <v>329</v>
      </c>
      <c r="O26" s="4">
        <v>506</v>
      </c>
      <c r="P26" s="11">
        <f t="shared" si="4"/>
        <v>9477</v>
      </c>
    </row>
    <row r="27" spans="1:16" ht="20.100000000000001" customHeight="1" x14ac:dyDescent="0.15">
      <c r="A27" s="201"/>
      <c r="B27" s="212"/>
      <c r="C27" s="27" t="s">
        <v>33</v>
      </c>
      <c r="D27" s="4">
        <v>216</v>
      </c>
      <c r="E27" s="22">
        <v>197</v>
      </c>
      <c r="F27" s="4">
        <v>86</v>
      </c>
      <c r="G27" s="4">
        <v>264</v>
      </c>
      <c r="H27" s="4">
        <v>300</v>
      </c>
      <c r="I27" s="4">
        <v>192</v>
      </c>
      <c r="J27" s="4">
        <v>127</v>
      </c>
      <c r="K27" s="4">
        <v>185</v>
      </c>
      <c r="L27" s="4">
        <v>314</v>
      </c>
      <c r="M27" s="4">
        <v>117</v>
      </c>
      <c r="N27" s="4">
        <v>636</v>
      </c>
      <c r="O27" s="4">
        <v>512</v>
      </c>
      <c r="P27" s="11">
        <f t="shared" si="4"/>
        <v>3146</v>
      </c>
    </row>
    <row r="28" spans="1:16" ht="20.100000000000001" customHeight="1" x14ac:dyDescent="0.15">
      <c r="A28" s="201"/>
      <c r="B28" s="212"/>
      <c r="C28" s="27" t="s">
        <v>31</v>
      </c>
      <c r="D28" s="4">
        <v>845</v>
      </c>
      <c r="E28" s="22">
        <v>248</v>
      </c>
      <c r="F28" s="4">
        <v>766</v>
      </c>
      <c r="G28" s="4">
        <v>534</v>
      </c>
      <c r="H28" s="4">
        <v>702</v>
      </c>
      <c r="I28" s="4">
        <v>644</v>
      </c>
      <c r="J28" s="4">
        <v>436</v>
      </c>
      <c r="K28" s="4">
        <v>441</v>
      </c>
      <c r="L28" s="4">
        <v>179</v>
      </c>
      <c r="M28" s="4">
        <v>609</v>
      </c>
      <c r="N28" s="4">
        <v>891</v>
      </c>
      <c r="O28" s="4">
        <v>1164</v>
      </c>
      <c r="P28" s="11">
        <f t="shared" si="4"/>
        <v>7459</v>
      </c>
    </row>
    <row r="29" spans="1:16" ht="20.100000000000001" customHeight="1" x14ac:dyDescent="0.15">
      <c r="A29" s="201"/>
      <c r="B29" s="212"/>
      <c r="C29" s="27" t="s">
        <v>110</v>
      </c>
      <c r="D29" s="4">
        <v>1117</v>
      </c>
      <c r="E29" s="22">
        <v>1199</v>
      </c>
      <c r="F29" s="4">
        <v>1418</v>
      </c>
      <c r="G29" s="4">
        <v>1767</v>
      </c>
      <c r="H29" s="4">
        <v>1677</v>
      </c>
      <c r="I29" s="4">
        <v>2040</v>
      </c>
      <c r="J29" s="4">
        <v>2640</v>
      </c>
      <c r="K29" s="4">
        <v>2024</v>
      </c>
      <c r="L29" s="4">
        <v>2012</v>
      </c>
      <c r="M29" s="4">
        <v>2758</v>
      </c>
      <c r="N29" s="4">
        <v>4932</v>
      </c>
      <c r="O29" s="4">
        <v>2760</v>
      </c>
      <c r="P29" s="11">
        <f t="shared" ref="P29:P46" si="5">SUM(D29:O29)</f>
        <v>26344</v>
      </c>
    </row>
    <row r="30" spans="1:16" ht="20.100000000000001" customHeight="1" x14ac:dyDescent="0.15">
      <c r="A30" s="201"/>
      <c r="B30" s="212"/>
      <c r="C30" s="27" t="s">
        <v>27</v>
      </c>
      <c r="D30" s="4">
        <v>84</v>
      </c>
      <c r="E30" s="22">
        <v>128</v>
      </c>
      <c r="F30" s="4">
        <v>1466</v>
      </c>
      <c r="G30" s="4">
        <v>1039</v>
      </c>
      <c r="H30" s="4">
        <v>400</v>
      </c>
      <c r="I30" s="4">
        <v>594</v>
      </c>
      <c r="J30" s="4">
        <v>395</v>
      </c>
      <c r="K30" s="4">
        <v>306</v>
      </c>
      <c r="L30" s="4">
        <v>765</v>
      </c>
      <c r="M30" s="4">
        <v>7</v>
      </c>
      <c r="N30" s="4">
        <v>2363</v>
      </c>
      <c r="O30" s="4">
        <v>407</v>
      </c>
      <c r="P30" s="11">
        <f t="shared" si="5"/>
        <v>7954</v>
      </c>
    </row>
    <row r="31" spans="1:16" ht="20.100000000000001" customHeight="1" x14ac:dyDescent="0.15">
      <c r="A31" s="201"/>
      <c r="B31" s="212"/>
      <c r="C31" s="27" t="s">
        <v>32</v>
      </c>
      <c r="D31" s="4">
        <v>646</v>
      </c>
      <c r="E31" s="22">
        <v>124</v>
      </c>
      <c r="F31" s="4">
        <v>431</v>
      </c>
      <c r="G31" s="4">
        <v>122</v>
      </c>
      <c r="H31" s="4">
        <v>49</v>
      </c>
      <c r="I31" s="4">
        <v>335</v>
      </c>
      <c r="J31" s="4">
        <v>411</v>
      </c>
      <c r="K31" s="4">
        <v>644</v>
      </c>
      <c r="L31" s="4">
        <v>558</v>
      </c>
      <c r="M31" s="4">
        <v>170</v>
      </c>
      <c r="N31" s="4">
        <v>477</v>
      </c>
      <c r="O31" s="4">
        <v>752</v>
      </c>
      <c r="P31" s="11">
        <f t="shared" si="5"/>
        <v>4719</v>
      </c>
    </row>
    <row r="32" spans="1:16" ht="20.100000000000001" customHeight="1" x14ac:dyDescent="0.15">
      <c r="A32" s="201"/>
      <c r="B32" s="212"/>
      <c r="C32" s="27" t="s">
        <v>50</v>
      </c>
      <c r="D32" s="4">
        <v>457</v>
      </c>
      <c r="E32" s="22"/>
      <c r="F32" s="4">
        <v>621</v>
      </c>
      <c r="G32" s="4">
        <v>639</v>
      </c>
      <c r="H32" s="4">
        <v>763</v>
      </c>
      <c r="I32" s="4">
        <v>474</v>
      </c>
      <c r="J32" s="4">
        <v>221</v>
      </c>
      <c r="K32" s="4">
        <v>487</v>
      </c>
      <c r="L32" s="4">
        <v>823</v>
      </c>
      <c r="M32" s="4">
        <v>264</v>
      </c>
      <c r="N32" s="4">
        <v>242</v>
      </c>
      <c r="O32" s="4">
        <v>114</v>
      </c>
      <c r="P32" s="11">
        <f t="shared" si="5"/>
        <v>5105</v>
      </c>
    </row>
    <row r="33" spans="1:16" ht="20.100000000000001" customHeight="1" x14ac:dyDescent="0.15">
      <c r="A33" s="201"/>
      <c r="B33" s="212"/>
      <c r="C33" s="27" t="s">
        <v>98</v>
      </c>
      <c r="D33" s="4">
        <v>592</v>
      </c>
      <c r="E33" s="22">
        <v>440</v>
      </c>
      <c r="F33" s="4">
        <v>767</v>
      </c>
      <c r="G33" s="4">
        <v>489</v>
      </c>
      <c r="H33" s="4">
        <v>2127</v>
      </c>
      <c r="I33" s="4">
        <v>1511</v>
      </c>
      <c r="J33" s="4">
        <v>1184</v>
      </c>
      <c r="K33" s="4">
        <v>1595</v>
      </c>
      <c r="L33" s="4">
        <v>1232</v>
      </c>
      <c r="M33" s="4">
        <v>630</v>
      </c>
      <c r="N33" s="4">
        <v>397</v>
      </c>
      <c r="O33" s="4">
        <v>555</v>
      </c>
      <c r="P33" s="11">
        <f t="shared" si="5"/>
        <v>11519</v>
      </c>
    </row>
    <row r="34" spans="1:16" ht="20.100000000000001" customHeight="1" x14ac:dyDescent="0.15">
      <c r="A34" s="201"/>
      <c r="B34" s="212"/>
      <c r="C34" s="27" t="s">
        <v>131</v>
      </c>
      <c r="D34" s="4"/>
      <c r="E34" s="22"/>
      <c r="F34" s="4"/>
      <c r="L34" s="4"/>
      <c r="N34" s="4"/>
      <c r="P34" s="11">
        <f t="shared" si="5"/>
        <v>0</v>
      </c>
    </row>
    <row r="35" spans="1:16" ht="20.100000000000001" customHeight="1" x14ac:dyDescent="0.15">
      <c r="A35" s="201"/>
      <c r="B35" s="212"/>
      <c r="C35" s="27" t="s">
        <v>19</v>
      </c>
      <c r="D35" s="4">
        <v>464</v>
      </c>
      <c r="E35" s="22">
        <v>389</v>
      </c>
      <c r="F35" s="4">
        <v>145</v>
      </c>
      <c r="G35" s="4">
        <v>411</v>
      </c>
      <c r="H35" s="4">
        <v>522</v>
      </c>
      <c r="I35" s="4">
        <v>527</v>
      </c>
      <c r="J35" s="4">
        <v>142</v>
      </c>
      <c r="K35" s="4">
        <v>156</v>
      </c>
      <c r="L35" s="4">
        <v>204</v>
      </c>
      <c r="M35" s="4">
        <v>461</v>
      </c>
      <c r="N35" s="4">
        <v>450</v>
      </c>
      <c r="O35" s="4">
        <v>753</v>
      </c>
      <c r="P35" s="11">
        <f>SUM(D35:O35)</f>
        <v>4624</v>
      </c>
    </row>
    <row r="36" spans="1:16" ht="20.100000000000001" customHeight="1" x14ac:dyDescent="0.15">
      <c r="A36" s="201"/>
      <c r="B36" s="213"/>
      <c r="C36" s="19" t="s">
        <v>130</v>
      </c>
      <c r="D36" s="20">
        <f t="shared" ref="D36:O36" si="6">SUM(D19:D35)</f>
        <v>16419</v>
      </c>
      <c r="E36" s="20">
        <f t="shared" si="6"/>
        <v>8677</v>
      </c>
      <c r="F36" s="20">
        <f t="shared" si="6"/>
        <v>20247</v>
      </c>
      <c r="G36" s="20">
        <f t="shared" si="6"/>
        <v>19376</v>
      </c>
      <c r="H36" s="20">
        <f t="shared" si="6"/>
        <v>21564</v>
      </c>
      <c r="I36" s="20">
        <f t="shared" si="6"/>
        <v>21497</v>
      </c>
      <c r="J36" s="20">
        <f t="shared" si="6"/>
        <v>20130</v>
      </c>
      <c r="K36" s="20">
        <f t="shared" si="6"/>
        <v>20729</v>
      </c>
      <c r="L36" s="20">
        <f t="shared" si="6"/>
        <v>14889</v>
      </c>
      <c r="M36" s="20">
        <f t="shared" si="6"/>
        <v>20381</v>
      </c>
      <c r="N36" s="20">
        <f t="shared" si="6"/>
        <v>27363</v>
      </c>
      <c r="O36" s="20">
        <f t="shared" si="6"/>
        <v>26981</v>
      </c>
      <c r="P36" s="11">
        <f t="shared" si="5"/>
        <v>238253</v>
      </c>
    </row>
    <row r="37" spans="1:16" ht="20.100000000000001" customHeight="1" x14ac:dyDescent="0.15">
      <c r="A37" s="201"/>
      <c r="B37" s="220" t="s">
        <v>124</v>
      </c>
      <c r="C37" s="27" t="s">
        <v>36</v>
      </c>
      <c r="D37" s="4">
        <v>103</v>
      </c>
      <c r="E37" s="22">
        <v>20</v>
      </c>
      <c r="F37" s="4">
        <v>69</v>
      </c>
      <c r="G37" s="4">
        <v>89</v>
      </c>
      <c r="H37" s="4">
        <v>67</v>
      </c>
      <c r="I37" s="4">
        <v>187</v>
      </c>
      <c r="J37" s="4">
        <v>88</v>
      </c>
      <c r="K37" s="4">
        <v>155</v>
      </c>
      <c r="L37" s="4">
        <v>166</v>
      </c>
      <c r="M37" s="4">
        <v>82</v>
      </c>
      <c r="N37" s="4">
        <v>89</v>
      </c>
      <c r="O37" s="4">
        <v>78</v>
      </c>
      <c r="P37" s="11">
        <f t="shared" si="5"/>
        <v>1193</v>
      </c>
    </row>
    <row r="38" spans="1:16" ht="20.100000000000001" customHeight="1" x14ac:dyDescent="0.15">
      <c r="A38" s="201"/>
      <c r="B38" s="221"/>
      <c r="C38" s="27" t="s">
        <v>46</v>
      </c>
      <c r="D38" s="4">
        <v>2</v>
      </c>
      <c r="E38" s="22">
        <v>1</v>
      </c>
      <c r="F38" s="4">
        <v>154</v>
      </c>
      <c r="G38" s="4">
        <v>185</v>
      </c>
      <c r="H38" s="4">
        <v>330</v>
      </c>
      <c r="I38" s="4">
        <v>147</v>
      </c>
      <c r="J38" s="4">
        <v>38</v>
      </c>
      <c r="K38" s="4">
        <v>216</v>
      </c>
      <c r="L38" s="4">
        <v>249</v>
      </c>
      <c r="M38" s="4">
        <v>57</v>
      </c>
      <c r="N38" s="4">
        <v>244</v>
      </c>
      <c r="O38" s="4">
        <v>138</v>
      </c>
      <c r="P38" s="11">
        <f t="shared" si="5"/>
        <v>1761</v>
      </c>
    </row>
    <row r="39" spans="1:16" ht="20.100000000000001" customHeight="1" x14ac:dyDescent="0.15">
      <c r="A39" s="201"/>
      <c r="B39" s="221"/>
      <c r="C39" s="27" t="s">
        <v>136</v>
      </c>
      <c r="D39" s="4">
        <v>351</v>
      </c>
      <c r="E39" s="22">
        <v>95</v>
      </c>
      <c r="F39" s="4">
        <v>336</v>
      </c>
      <c r="G39" s="4">
        <v>331</v>
      </c>
      <c r="H39" s="4">
        <v>166</v>
      </c>
      <c r="I39" s="4">
        <v>321</v>
      </c>
      <c r="J39" s="4">
        <v>291</v>
      </c>
      <c r="K39" s="4">
        <v>230</v>
      </c>
      <c r="L39" s="4">
        <v>142</v>
      </c>
      <c r="M39" s="4">
        <v>357</v>
      </c>
      <c r="N39" s="4">
        <v>245</v>
      </c>
      <c r="O39" s="4">
        <v>292</v>
      </c>
      <c r="P39" s="11">
        <f t="shared" si="5"/>
        <v>3157</v>
      </c>
    </row>
    <row r="40" spans="1:16" ht="20.100000000000001" customHeight="1" x14ac:dyDescent="0.15">
      <c r="A40" s="201"/>
      <c r="B40" s="221"/>
      <c r="C40" s="27" t="s">
        <v>19</v>
      </c>
      <c r="D40" s="4">
        <v>114</v>
      </c>
      <c r="E40" s="22">
        <v>47</v>
      </c>
      <c r="F40" s="4">
        <v>115</v>
      </c>
      <c r="G40" s="4">
        <v>144</v>
      </c>
      <c r="H40" s="4">
        <v>80</v>
      </c>
      <c r="I40" s="4">
        <v>87</v>
      </c>
      <c r="J40" s="4">
        <v>74</v>
      </c>
      <c r="K40" s="4">
        <v>128</v>
      </c>
      <c r="L40" s="4">
        <v>89</v>
      </c>
      <c r="M40" s="4">
        <v>107</v>
      </c>
      <c r="N40" s="4">
        <v>155</v>
      </c>
      <c r="O40" s="4">
        <v>178</v>
      </c>
      <c r="P40" s="11">
        <f t="shared" si="5"/>
        <v>1318</v>
      </c>
    </row>
    <row r="41" spans="1:16" ht="20.100000000000001" customHeight="1" x14ac:dyDescent="0.15">
      <c r="A41" s="201"/>
      <c r="B41" s="222"/>
      <c r="C41" s="19" t="s">
        <v>130</v>
      </c>
      <c r="D41" s="20">
        <f t="shared" ref="D41:O41" si="7">SUM(D37:D40)</f>
        <v>570</v>
      </c>
      <c r="E41" s="20">
        <f t="shared" si="7"/>
        <v>163</v>
      </c>
      <c r="F41" s="20">
        <f t="shared" si="7"/>
        <v>674</v>
      </c>
      <c r="G41" s="20">
        <f t="shared" si="7"/>
        <v>749</v>
      </c>
      <c r="H41" s="20">
        <f t="shared" si="7"/>
        <v>643</v>
      </c>
      <c r="I41" s="20">
        <f t="shared" si="7"/>
        <v>742</v>
      </c>
      <c r="J41" s="20">
        <f t="shared" si="7"/>
        <v>491</v>
      </c>
      <c r="K41" s="20">
        <f t="shared" si="7"/>
        <v>729</v>
      </c>
      <c r="L41" s="20">
        <f t="shared" si="7"/>
        <v>646</v>
      </c>
      <c r="M41" s="20">
        <f t="shared" si="7"/>
        <v>603</v>
      </c>
      <c r="N41" s="20">
        <f t="shared" si="7"/>
        <v>733</v>
      </c>
      <c r="O41" s="20">
        <f t="shared" si="7"/>
        <v>686</v>
      </c>
      <c r="P41" s="11">
        <f t="shared" si="5"/>
        <v>7429</v>
      </c>
    </row>
    <row r="42" spans="1:16" ht="20.100000000000001" customHeight="1" x14ac:dyDescent="0.15">
      <c r="A42" s="201"/>
      <c r="B42" s="216" t="s">
        <v>127</v>
      </c>
      <c r="C42" s="217"/>
      <c r="D42" s="4">
        <v>124</v>
      </c>
      <c r="E42" s="22">
        <v>158</v>
      </c>
      <c r="F42" s="4">
        <v>177</v>
      </c>
      <c r="G42" s="4">
        <v>201</v>
      </c>
      <c r="H42" s="4">
        <v>199</v>
      </c>
      <c r="I42" s="4">
        <v>272</v>
      </c>
      <c r="J42" s="4">
        <v>183</v>
      </c>
      <c r="K42" s="4">
        <v>145</v>
      </c>
      <c r="L42" s="4">
        <v>166</v>
      </c>
      <c r="M42" s="4">
        <v>76</v>
      </c>
      <c r="N42" s="4">
        <v>185</v>
      </c>
      <c r="O42" s="4">
        <v>121</v>
      </c>
      <c r="P42" s="11">
        <f t="shared" si="5"/>
        <v>2007</v>
      </c>
    </row>
    <row r="43" spans="1:16" ht="24.75" customHeight="1" x14ac:dyDescent="0.15">
      <c r="A43" s="201"/>
      <c r="B43" s="199" t="s">
        <v>40</v>
      </c>
      <c r="C43" s="199"/>
      <c r="D43" s="6">
        <f t="shared" ref="D43:O43" si="8">D36+D41+D42</f>
        <v>17113</v>
      </c>
      <c r="E43" s="6">
        <f t="shared" si="8"/>
        <v>8998</v>
      </c>
      <c r="F43" s="6">
        <f t="shared" si="8"/>
        <v>21098</v>
      </c>
      <c r="G43" s="6">
        <f t="shared" si="8"/>
        <v>20326</v>
      </c>
      <c r="H43" s="6">
        <f t="shared" si="8"/>
        <v>22406</v>
      </c>
      <c r="I43" s="6">
        <f t="shared" si="8"/>
        <v>22511</v>
      </c>
      <c r="J43" s="6">
        <f t="shared" si="8"/>
        <v>20804</v>
      </c>
      <c r="K43" s="6">
        <f t="shared" si="8"/>
        <v>21603</v>
      </c>
      <c r="L43" s="6">
        <f t="shared" si="8"/>
        <v>15701</v>
      </c>
      <c r="M43" s="6">
        <f t="shared" si="8"/>
        <v>21060</v>
      </c>
      <c r="N43" s="6">
        <f t="shared" si="8"/>
        <v>28281</v>
      </c>
      <c r="O43" s="6">
        <f t="shared" si="8"/>
        <v>27788</v>
      </c>
      <c r="P43" s="13">
        <f t="shared" si="5"/>
        <v>247689</v>
      </c>
    </row>
    <row r="44" spans="1:16" s="2" customFormat="1" ht="26.45" customHeight="1" x14ac:dyDescent="0.15">
      <c r="A44" s="202" t="s">
        <v>41</v>
      </c>
      <c r="B44" s="203"/>
      <c r="C44" s="203"/>
      <c r="D44" s="7">
        <f t="shared" ref="D44:O44" si="9">SUM(D18,D43)</f>
        <v>67651</v>
      </c>
      <c r="E44" s="7">
        <f t="shared" si="9"/>
        <v>65169</v>
      </c>
      <c r="F44" s="7">
        <f t="shared" si="9"/>
        <v>84243</v>
      </c>
      <c r="G44" s="7">
        <f t="shared" si="9"/>
        <v>82312</v>
      </c>
      <c r="H44" s="7">
        <f t="shared" si="9"/>
        <v>80218</v>
      </c>
      <c r="I44" s="7">
        <f t="shared" si="9"/>
        <v>75262</v>
      </c>
      <c r="J44" s="7">
        <f t="shared" si="9"/>
        <v>83363</v>
      </c>
      <c r="K44" s="7">
        <f t="shared" si="9"/>
        <v>66464</v>
      </c>
      <c r="L44" s="7">
        <f t="shared" si="9"/>
        <v>88209</v>
      </c>
      <c r="M44" s="7">
        <f t="shared" si="9"/>
        <v>67125</v>
      </c>
      <c r="N44" s="7">
        <f t="shared" si="9"/>
        <v>100714</v>
      </c>
      <c r="O44" s="7">
        <f t="shared" si="9"/>
        <v>78892</v>
      </c>
      <c r="P44" s="12">
        <f t="shared" si="5"/>
        <v>939622</v>
      </c>
    </row>
    <row r="45" spans="1:16" ht="19.5" customHeight="1" x14ac:dyDescent="0.15">
      <c r="A45" s="204" t="s">
        <v>43</v>
      </c>
      <c r="B45" s="205"/>
      <c r="C45" s="205"/>
      <c r="D45" s="4">
        <v>25040</v>
      </c>
      <c r="E45" s="22">
        <v>39707</v>
      </c>
      <c r="F45" s="4">
        <v>30134</v>
      </c>
      <c r="G45" s="4">
        <v>31437</v>
      </c>
      <c r="H45" s="4">
        <v>26743</v>
      </c>
      <c r="I45" s="4">
        <v>27743</v>
      </c>
      <c r="J45" s="4">
        <v>28894</v>
      </c>
      <c r="K45" s="4">
        <v>27339</v>
      </c>
      <c r="L45" s="4">
        <v>30352</v>
      </c>
      <c r="M45" s="4">
        <v>23632</v>
      </c>
      <c r="N45" s="4">
        <v>17950</v>
      </c>
      <c r="O45" s="4">
        <v>22104</v>
      </c>
      <c r="P45" s="11">
        <f t="shared" si="5"/>
        <v>331075</v>
      </c>
    </row>
    <row r="46" spans="1:16" ht="20.100000000000001" customHeight="1" x14ac:dyDescent="0.15">
      <c r="A46" s="218" t="s">
        <v>129</v>
      </c>
      <c r="B46" s="219"/>
      <c r="C46" s="217"/>
      <c r="D46" s="16">
        <v>1546</v>
      </c>
      <c r="E46" s="22">
        <v>1606</v>
      </c>
      <c r="F46" s="16">
        <v>889</v>
      </c>
      <c r="G46" s="16">
        <v>804</v>
      </c>
      <c r="H46" s="16">
        <v>1190</v>
      </c>
      <c r="I46" s="16">
        <v>2156</v>
      </c>
      <c r="J46" s="16">
        <v>1963</v>
      </c>
      <c r="K46" s="16">
        <v>891</v>
      </c>
      <c r="L46" s="16">
        <v>1417</v>
      </c>
      <c r="M46" s="16">
        <v>1415</v>
      </c>
      <c r="N46" s="16">
        <v>1292</v>
      </c>
      <c r="O46" s="16">
        <v>1543</v>
      </c>
      <c r="P46" s="17">
        <f t="shared" si="5"/>
        <v>16712</v>
      </c>
    </row>
    <row r="47" spans="1:16" s="2" customFormat="1" ht="27.75" customHeight="1" thickBot="1" x14ac:dyDescent="0.2">
      <c r="A47" s="197" t="s">
        <v>42</v>
      </c>
      <c r="B47" s="198"/>
      <c r="C47" s="198"/>
      <c r="D47" s="21">
        <f t="shared" ref="D47:O47" si="10">D44+D45+D46</f>
        <v>94237</v>
      </c>
      <c r="E47" s="21">
        <f t="shared" si="10"/>
        <v>106482</v>
      </c>
      <c r="F47" s="21">
        <f t="shared" si="10"/>
        <v>115266</v>
      </c>
      <c r="G47" s="21">
        <f t="shared" si="10"/>
        <v>114553</v>
      </c>
      <c r="H47" s="21">
        <f t="shared" si="10"/>
        <v>108151</v>
      </c>
      <c r="I47" s="21">
        <f t="shared" si="10"/>
        <v>105161</v>
      </c>
      <c r="J47" s="21">
        <f t="shared" si="10"/>
        <v>114220</v>
      </c>
      <c r="K47" s="21">
        <f t="shared" si="10"/>
        <v>94694</v>
      </c>
      <c r="L47" s="21">
        <f t="shared" si="10"/>
        <v>119978</v>
      </c>
      <c r="M47" s="21">
        <f t="shared" si="10"/>
        <v>92172</v>
      </c>
      <c r="N47" s="21">
        <f t="shared" si="10"/>
        <v>119956</v>
      </c>
      <c r="O47" s="21">
        <f t="shared" si="10"/>
        <v>102539</v>
      </c>
      <c r="P47" s="14">
        <f>SUM(D47:O47)</f>
        <v>1287409</v>
      </c>
    </row>
    <row r="48" spans="1:16" ht="20.100000000000001" customHeight="1" x14ac:dyDescent="0.15"/>
  </sheetData>
  <mergeCells count="17">
    <mergeCell ref="A1:P1"/>
    <mergeCell ref="A2:C2"/>
    <mergeCell ref="A3:A18"/>
    <mergeCell ref="B3:B9"/>
    <mergeCell ref="B10:B15"/>
    <mergeCell ref="B16:C16"/>
    <mergeCell ref="B17:C17"/>
    <mergeCell ref="B18:C18"/>
    <mergeCell ref="A45:C45"/>
    <mergeCell ref="A46:C46"/>
    <mergeCell ref="A47:C47"/>
    <mergeCell ref="A19:A43"/>
    <mergeCell ref="B19:B36"/>
    <mergeCell ref="B37:B41"/>
    <mergeCell ref="B42:C42"/>
    <mergeCell ref="B43:C43"/>
    <mergeCell ref="A44:C44"/>
  </mergeCells>
  <phoneticPr fontId="14" type="noConversion"/>
  <pageMargins left="1.34" right="0.51181102362204722" top="0.72" bottom="0.35433070866141736" header="0.11811023622047245" footer="0.11811023622047245"/>
  <pageSetup paperSize="9" scale="54" fitToWidth="2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P48"/>
  <sheetViews>
    <sheetView zoomScale="80" zoomScaleNormal="80" workbookViewId="0">
      <pane xSplit="3" ySplit="2" topLeftCell="D3" activePane="bottomRight" state="frozen"/>
      <selection pane="topRight" activeCell="D1" sqref="D1"/>
      <selection pane="bottomLeft" activeCell="A3" sqref="A3"/>
      <selection pane="bottomRight" activeCell="C14" sqref="C14"/>
    </sheetView>
  </sheetViews>
  <sheetFormatPr defaultRowHeight="13.5" x14ac:dyDescent="0.15"/>
  <cols>
    <col min="1" max="1" width="5.21875" customWidth="1"/>
    <col min="2" max="2" width="5.44140625" customWidth="1"/>
    <col min="3" max="3" width="11.44140625" customWidth="1"/>
    <col min="4" max="15" width="13.5546875" customWidth="1"/>
    <col min="16" max="16" width="14.6640625" style="2" customWidth="1"/>
  </cols>
  <sheetData>
    <row r="1" spans="1:16" ht="51" customHeight="1" thickBot="1" x14ac:dyDescent="0.2">
      <c r="A1" s="207" t="s">
        <v>147</v>
      </c>
      <c r="B1" s="208"/>
      <c r="C1" s="208"/>
      <c r="D1" s="208"/>
      <c r="E1" s="208"/>
      <c r="F1" s="208"/>
      <c r="G1" s="208"/>
      <c r="H1" s="208"/>
      <c r="I1" s="208"/>
      <c r="J1" s="208"/>
      <c r="K1" s="208"/>
      <c r="L1" s="208"/>
      <c r="M1" s="208"/>
      <c r="N1" s="208"/>
      <c r="O1" s="208"/>
      <c r="P1" s="208"/>
    </row>
    <row r="2" spans="1:16" ht="25.5" customHeight="1" x14ac:dyDescent="0.15">
      <c r="A2" s="209" t="s">
        <v>13</v>
      </c>
      <c r="B2" s="210"/>
      <c r="C2" s="210"/>
      <c r="D2" s="33" t="s">
        <v>0</v>
      </c>
      <c r="E2" s="33" t="s">
        <v>1</v>
      </c>
      <c r="F2" s="33" t="s">
        <v>2</v>
      </c>
      <c r="G2" s="33" t="s">
        <v>3</v>
      </c>
      <c r="H2" s="33" t="s">
        <v>4</v>
      </c>
      <c r="I2" s="33" t="s">
        <v>5</v>
      </c>
      <c r="J2" s="33" t="s">
        <v>6</v>
      </c>
      <c r="K2" s="33" t="s">
        <v>7</v>
      </c>
      <c r="L2" s="33" t="s">
        <v>8</v>
      </c>
      <c r="M2" s="33" t="s">
        <v>9</v>
      </c>
      <c r="N2" s="33" t="s">
        <v>10</v>
      </c>
      <c r="O2" s="33" t="s">
        <v>11</v>
      </c>
      <c r="P2" s="9" t="s">
        <v>44</v>
      </c>
    </row>
    <row r="3" spans="1:16" ht="19.899999999999999" customHeight="1" x14ac:dyDescent="0.15">
      <c r="A3" s="200" t="s">
        <v>14</v>
      </c>
      <c r="B3" s="206" t="s">
        <v>122</v>
      </c>
      <c r="C3" s="32" t="s">
        <v>16</v>
      </c>
      <c r="D3" s="18">
        <v>38687</v>
      </c>
      <c r="E3" s="22">
        <v>31637</v>
      </c>
      <c r="F3" s="4">
        <v>44896</v>
      </c>
      <c r="G3" s="4">
        <v>47431</v>
      </c>
      <c r="H3" s="4">
        <v>43227</v>
      </c>
      <c r="I3" s="4">
        <v>47780</v>
      </c>
      <c r="J3" s="4">
        <f>1+43245</f>
        <v>43246</v>
      </c>
      <c r="K3" s="4">
        <v>31326</v>
      </c>
      <c r="L3" s="4">
        <f>33437+1</f>
        <v>33438</v>
      </c>
      <c r="M3" s="4">
        <f>47215+55</f>
        <v>47270</v>
      </c>
      <c r="N3" s="4">
        <f>37+51010</f>
        <v>51047</v>
      </c>
      <c r="O3" s="4">
        <f>235+50498</f>
        <v>50733</v>
      </c>
      <c r="P3" s="11">
        <f t="shared" ref="P3:P17" si="0">SUM(D3:O3)</f>
        <v>510718</v>
      </c>
    </row>
    <row r="4" spans="1:16" ht="19.899999999999999" customHeight="1" x14ac:dyDescent="0.15">
      <c r="A4" s="200"/>
      <c r="B4" s="205"/>
      <c r="C4" s="32" t="s">
        <v>17</v>
      </c>
      <c r="D4" s="18">
        <v>2893</v>
      </c>
      <c r="E4" s="22">
        <f>773+2724</f>
        <v>3497</v>
      </c>
      <c r="F4" s="4">
        <f>1382+3417</f>
        <v>4799</v>
      </c>
      <c r="G4" s="4">
        <f>2315+1280</f>
        <v>3595</v>
      </c>
      <c r="H4" s="4">
        <f>494+3309</f>
        <v>3803</v>
      </c>
      <c r="I4" s="4">
        <f>166+1508</f>
        <v>1674</v>
      </c>
      <c r="J4" s="4">
        <f>345+2323</f>
        <v>2668</v>
      </c>
      <c r="K4" s="4">
        <f>1406+1153</f>
        <v>2559</v>
      </c>
      <c r="L4" s="4">
        <f>414+5+4269</f>
        <v>4688</v>
      </c>
      <c r="M4" s="4">
        <f>5+148+3791</f>
        <v>3944</v>
      </c>
      <c r="N4" s="4">
        <f>787+1523+1439</f>
        <v>3749</v>
      </c>
      <c r="O4" s="4">
        <f>69+1551+65</f>
        <v>1685</v>
      </c>
      <c r="P4" s="11">
        <f t="shared" si="0"/>
        <v>39554</v>
      </c>
    </row>
    <row r="5" spans="1:16" ht="19.899999999999999" customHeight="1" x14ac:dyDescent="0.15">
      <c r="A5" s="200"/>
      <c r="B5" s="205"/>
      <c r="C5" s="32" t="s">
        <v>18</v>
      </c>
      <c r="D5" s="18">
        <v>2716</v>
      </c>
      <c r="E5" s="22">
        <v>2605</v>
      </c>
      <c r="F5" s="4">
        <f>1934+8</f>
        <v>1942</v>
      </c>
      <c r="G5" s="4">
        <v>2580</v>
      </c>
      <c r="H5" s="4">
        <f>2873+6</f>
        <v>2879</v>
      </c>
      <c r="I5" s="4">
        <v>2830</v>
      </c>
      <c r="J5" s="4">
        <f>1+2695</f>
        <v>2696</v>
      </c>
      <c r="K5" s="4">
        <f>1811+10</f>
        <v>1821</v>
      </c>
      <c r="L5" s="4">
        <f>1708+19</f>
        <v>1727</v>
      </c>
      <c r="M5" s="4">
        <v>3132</v>
      </c>
      <c r="N5" s="4">
        <f>12+3309</f>
        <v>3321</v>
      </c>
      <c r="O5" s="4">
        <v>2890</v>
      </c>
      <c r="P5" s="11">
        <f t="shared" si="0"/>
        <v>31139</v>
      </c>
    </row>
    <row r="6" spans="1:16" ht="19.899999999999999" customHeight="1" x14ac:dyDescent="0.15">
      <c r="A6" s="200"/>
      <c r="B6" s="205"/>
      <c r="C6" s="32" t="s">
        <v>118</v>
      </c>
      <c r="D6" s="4"/>
      <c r="E6" s="22"/>
      <c r="F6" s="4">
        <v>35</v>
      </c>
      <c r="G6" s="4"/>
      <c r="H6" s="4"/>
      <c r="I6" s="4">
        <v>63</v>
      </c>
      <c r="J6" s="4"/>
      <c r="K6" s="4"/>
      <c r="L6" s="4"/>
      <c r="M6" s="4"/>
      <c r="N6" s="4"/>
      <c r="O6" s="4"/>
      <c r="P6" s="11">
        <f t="shared" si="0"/>
        <v>98</v>
      </c>
    </row>
    <row r="7" spans="1:16" ht="19.899999999999999" customHeight="1" x14ac:dyDescent="0.15">
      <c r="A7" s="200"/>
      <c r="B7" s="205"/>
      <c r="C7" s="32" t="s">
        <v>119</v>
      </c>
      <c r="D7" s="4"/>
      <c r="E7" s="22"/>
      <c r="F7" s="4"/>
      <c r="G7" s="4"/>
      <c r="H7" s="4"/>
      <c r="I7" s="4"/>
      <c r="J7" s="4"/>
      <c r="K7" s="4"/>
      <c r="L7" s="4"/>
      <c r="M7" s="4"/>
      <c r="N7" s="4"/>
      <c r="O7" s="4"/>
      <c r="P7" s="11">
        <f t="shared" si="0"/>
        <v>0</v>
      </c>
    </row>
    <row r="8" spans="1:16" ht="19.899999999999999" customHeight="1" x14ac:dyDescent="0.15">
      <c r="A8" s="200"/>
      <c r="B8" s="205"/>
      <c r="C8" s="32" t="s">
        <v>19</v>
      </c>
      <c r="D8" s="18">
        <v>46</v>
      </c>
      <c r="E8" s="22">
        <v>373</v>
      </c>
      <c r="F8" s="4">
        <v>665</v>
      </c>
      <c r="G8" s="4">
        <v>63</v>
      </c>
      <c r="H8" s="4">
        <v>2</v>
      </c>
      <c r="I8" s="4">
        <f>138+1</f>
        <v>139</v>
      </c>
      <c r="J8" s="4">
        <v>13</v>
      </c>
      <c r="K8" s="4">
        <f>33+27</f>
        <v>60</v>
      </c>
      <c r="L8" s="4">
        <v>32</v>
      </c>
      <c r="M8" s="4">
        <f>354+741</f>
        <v>1095</v>
      </c>
      <c r="N8" s="4">
        <f>703+204</f>
        <v>907</v>
      </c>
      <c r="O8" s="4">
        <f>156+2</f>
        <v>158</v>
      </c>
      <c r="P8" s="11">
        <f t="shared" si="0"/>
        <v>3553</v>
      </c>
    </row>
    <row r="9" spans="1:16" ht="19.899999999999999" customHeight="1" x14ac:dyDescent="0.15">
      <c r="A9" s="200"/>
      <c r="B9" s="205"/>
      <c r="C9" s="3" t="s">
        <v>22</v>
      </c>
      <c r="D9" s="5">
        <f t="shared" ref="D9:O9" si="1">SUM(D3:D8)</f>
        <v>44342</v>
      </c>
      <c r="E9" s="5">
        <f t="shared" si="1"/>
        <v>38112</v>
      </c>
      <c r="F9" s="5">
        <f t="shared" si="1"/>
        <v>52337</v>
      </c>
      <c r="G9" s="5">
        <f t="shared" si="1"/>
        <v>53669</v>
      </c>
      <c r="H9" s="5">
        <f t="shared" si="1"/>
        <v>49911</v>
      </c>
      <c r="I9" s="5">
        <f t="shared" si="1"/>
        <v>52486</v>
      </c>
      <c r="J9" s="5">
        <f t="shared" si="1"/>
        <v>48623</v>
      </c>
      <c r="K9" s="5">
        <f t="shared" si="1"/>
        <v>35766</v>
      </c>
      <c r="L9" s="5">
        <f t="shared" si="1"/>
        <v>39885</v>
      </c>
      <c r="M9" s="5">
        <f t="shared" si="1"/>
        <v>55441</v>
      </c>
      <c r="N9" s="5">
        <f t="shared" si="1"/>
        <v>59024</v>
      </c>
      <c r="O9" s="5">
        <f t="shared" si="1"/>
        <v>55466</v>
      </c>
      <c r="P9" s="11">
        <f t="shared" si="0"/>
        <v>585062</v>
      </c>
    </row>
    <row r="10" spans="1:16" ht="19.899999999999999" customHeight="1" x14ac:dyDescent="0.15">
      <c r="A10" s="200"/>
      <c r="B10" s="211" t="s">
        <v>123</v>
      </c>
      <c r="C10" s="15" t="s">
        <v>120</v>
      </c>
      <c r="D10" s="18">
        <v>0</v>
      </c>
      <c r="E10" s="22">
        <f>39+3</f>
        <v>42</v>
      </c>
      <c r="F10" s="18">
        <v>0</v>
      </c>
      <c r="G10" s="18">
        <f>20+11</f>
        <v>31</v>
      </c>
      <c r="H10" s="18">
        <v>20</v>
      </c>
      <c r="I10" s="18">
        <f>48+7</f>
        <v>55</v>
      </c>
      <c r="J10" s="18">
        <v>9</v>
      </c>
      <c r="K10" s="18">
        <v>1</v>
      </c>
      <c r="L10" s="18">
        <v>5</v>
      </c>
      <c r="M10" s="18">
        <v>5</v>
      </c>
      <c r="N10" s="18">
        <v>10</v>
      </c>
      <c r="O10" s="18"/>
      <c r="P10" s="11">
        <f t="shared" si="0"/>
        <v>178</v>
      </c>
    </row>
    <row r="11" spans="1:16" ht="19.899999999999999" customHeight="1" x14ac:dyDescent="0.15">
      <c r="A11" s="200"/>
      <c r="B11" s="212"/>
      <c r="C11" s="15" t="s">
        <v>17</v>
      </c>
      <c r="D11" s="18">
        <v>2</v>
      </c>
      <c r="E11" s="22">
        <v>0</v>
      </c>
      <c r="F11" s="18">
        <v>25</v>
      </c>
      <c r="G11" s="18">
        <v>50</v>
      </c>
      <c r="H11" s="18">
        <v>13</v>
      </c>
      <c r="I11" s="18">
        <v>4</v>
      </c>
      <c r="J11" s="18">
        <v>40</v>
      </c>
      <c r="K11" s="18">
        <v>19</v>
      </c>
      <c r="L11" s="18">
        <v>80</v>
      </c>
      <c r="M11" s="18">
        <v>11</v>
      </c>
      <c r="N11" s="18">
        <v>3</v>
      </c>
      <c r="O11" s="18">
        <v>1</v>
      </c>
      <c r="P11" s="11">
        <f t="shared" si="0"/>
        <v>248</v>
      </c>
    </row>
    <row r="12" spans="1:16" ht="19.899999999999999" customHeight="1" x14ac:dyDescent="0.15">
      <c r="A12" s="200"/>
      <c r="B12" s="212"/>
      <c r="C12" s="15" t="s">
        <v>132</v>
      </c>
      <c r="D12" s="18">
        <v>0</v>
      </c>
      <c r="E12" s="22">
        <v>0</v>
      </c>
      <c r="F12" s="18">
        <v>11</v>
      </c>
      <c r="G12" s="18">
        <v>10</v>
      </c>
      <c r="H12" s="18">
        <v>6</v>
      </c>
      <c r="I12" s="18">
        <v>10</v>
      </c>
      <c r="J12" s="18">
        <v>0</v>
      </c>
      <c r="K12" s="18">
        <v>0</v>
      </c>
      <c r="L12" s="18">
        <v>0</v>
      </c>
      <c r="M12" s="18">
        <v>0</v>
      </c>
      <c r="N12" s="18">
        <v>4</v>
      </c>
      <c r="O12" s="18"/>
      <c r="P12" s="11">
        <f t="shared" si="0"/>
        <v>41</v>
      </c>
    </row>
    <row r="13" spans="1:16" ht="19.899999999999999" customHeight="1" x14ac:dyDescent="0.15">
      <c r="A13" s="200"/>
      <c r="B13" s="212"/>
      <c r="C13" s="15" t="s">
        <v>138</v>
      </c>
      <c r="D13" s="18">
        <v>125</v>
      </c>
      <c r="E13" s="22">
        <v>274</v>
      </c>
      <c r="F13" s="18">
        <v>357</v>
      </c>
      <c r="G13" s="18">
        <v>133</v>
      </c>
      <c r="H13" s="18">
        <v>126</v>
      </c>
      <c r="I13" s="18">
        <v>191</v>
      </c>
      <c r="J13" s="18">
        <v>186</v>
      </c>
      <c r="K13" s="18">
        <v>242</v>
      </c>
      <c r="L13" s="18">
        <v>276</v>
      </c>
      <c r="M13" s="18">
        <v>278</v>
      </c>
      <c r="N13" s="18">
        <v>320</v>
      </c>
      <c r="O13" s="18">
        <v>282</v>
      </c>
      <c r="P13" s="11">
        <f t="shared" si="0"/>
        <v>2790</v>
      </c>
    </row>
    <row r="14" spans="1:16" ht="19.899999999999999" customHeight="1" x14ac:dyDescent="0.15">
      <c r="A14" s="200"/>
      <c r="B14" s="212"/>
      <c r="C14" s="15" t="s">
        <v>137</v>
      </c>
      <c r="D14" s="18">
        <v>36</v>
      </c>
      <c r="E14" s="22">
        <v>48</v>
      </c>
      <c r="F14" s="18">
        <f>22+6</f>
        <v>28</v>
      </c>
      <c r="G14" s="18">
        <v>9</v>
      </c>
      <c r="H14" s="18">
        <f>14+3</f>
        <v>17</v>
      </c>
      <c r="I14" s="18">
        <v>16</v>
      </c>
      <c r="J14" s="18">
        <f>5+3</f>
        <v>8</v>
      </c>
      <c r="K14" s="18">
        <f>33+5</f>
        <v>38</v>
      </c>
      <c r="L14" s="18">
        <v>27</v>
      </c>
      <c r="M14" s="18">
        <f>34+18</f>
        <v>52</v>
      </c>
      <c r="N14" s="18">
        <v>86</v>
      </c>
      <c r="O14" s="18">
        <f>33+14</f>
        <v>47</v>
      </c>
      <c r="P14" s="11">
        <f t="shared" si="0"/>
        <v>412</v>
      </c>
    </row>
    <row r="15" spans="1:16" ht="19.899999999999999" customHeight="1" x14ac:dyDescent="0.15">
      <c r="A15" s="200"/>
      <c r="B15" s="213"/>
      <c r="C15" s="3" t="s">
        <v>22</v>
      </c>
      <c r="D15" s="5">
        <f t="shared" ref="D15:O15" si="2">SUM(D10:D14)</f>
        <v>163</v>
      </c>
      <c r="E15" s="5">
        <f t="shared" si="2"/>
        <v>364</v>
      </c>
      <c r="F15" s="5">
        <f t="shared" si="2"/>
        <v>421</v>
      </c>
      <c r="G15" s="5">
        <f t="shared" si="2"/>
        <v>233</v>
      </c>
      <c r="H15" s="5">
        <f t="shared" si="2"/>
        <v>182</v>
      </c>
      <c r="I15" s="5">
        <f t="shared" si="2"/>
        <v>276</v>
      </c>
      <c r="J15" s="5">
        <f t="shared" si="2"/>
        <v>243</v>
      </c>
      <c r="K15" s="5">
        <f t="shared" si="2"/>
        <v>300</v>
      </c>
      <c r="L15" s="5">
        <f t="shared" si="2"/>
        <v>388</v>
      </c>
      <c r="M15" s="5">
        <f t="shared" si="2"/>
        <v>346</v>
      </c>
      <c r="N15" s="5">
        <f t="shared" si="2"/>
        <v>423</v>
      </c>
      <c r="O15" s="5">
        <f t="shared" si="2"/>
        <v>330</v>
      </c>
      <c r="P15" s="11">
        <f t="shared" si="0"/>
        <v>3669</v>
      </c>
    </row>
    <row r="16" spans="1:16" ht="19.5" customHeight="1" x14ac:dyDescent="0.15">
      <c r="A16" s="200"/>
      <c r="B16" s="214" t="s">
        <v>20</v>
      </c>
      <c r="C16" s="215"/>
      <c r="D16" s="18">
        <v>646</v>
      </c>
      <c r="E16" s="22">
        <v>831</v>
      </c>
      <c r="F16" s="18">
        <f>1124+718</f>
        <v>1842</v>
      </c>
      <c r="G16" s="18">
        <f>762+265</f>
        <v>1027</v>
      </c>
      <c r="H16" s="18">
        <f>857+12</f>
        <v>869</v>
      </c>
      <c r="I16" s="18">
        <f>1090+344</f>
        <v>1434</v>
      </c>
      <c r="J16" s="18">
        <f>536+1202</f>
        <v>1738</v>
      </c>
      <c r="K16" s="18">
        <f>1523+397</f>
        <v>1920</v>
      </c>
      <c r="L16" s="18">
        <f>959+708</f>
        <v>1667</v>
      </c>
      <c r="M16" s="18">
        <f>1454+868</f>
        <v>2322</v>
      </c>
      <c r="N16" s="18">
        <v>1132</v>
      </c>
      <c r="O16" s="18">
        <f>1134+796</f>
        <v>1930</v>
      </c>
      <c r="P16" s="11">
        <f t="shared" si="0"/>
        <v>17358</v>
      </c>
    </row>
    <row r="17" spans="1:16" ht="19.899999999999999" customHeight="1" x14ac:dyDescent="0.15">
      <c r="A17" s="200"/>
      <c r="B17" s="205" t="s">
        <v>127</v>
      </c>
      <c r="C17" s="205"/>
      <c r="D17" s="18">
        <v>130</v>
      </c>
      <c r="E17" s="22">
        <v>144</v>
      </c>
      <c r="F17" s="4">
        <v>58</v>
      </c>
      <c r="G17" s="4">
        <f>135+1</f>
        <v>136</v>
      </c>
      <c r="H17" s="4">
        <v>83</v>
      </c>
      <c r="I17" s="4">
        <v>77</v>
      </c>
      <c r="J17" s="4">
        <f>1+45</f>
        <v>46</v>
      </c>
      <c r="K17" s="4">
        <v>28</v>
      </c>
      <c r="L17" s="4">
        <v>137</v>
      </c>
      <c r="M17" s="4">
        <v>125</v>
      </c>
      <c r="N17" s="4">
        <v>155</v>
      </c>
      <c r="O17" s="4">
        <v>89</v>
      </c>
      <c r="P17" s="11">
        <f t="shared" si="0"/>
        <v>1208</v>
      </c>
    </row>
    <row r="18" spans="1:16" ht="26.45" customHeight="1" x14ac:dyDescent="0.15">
      <c r="A18" s="200"/>
      <c r="B18" s="199" t="s">
        <v>39</v>
      </c>
      <c r="C18" s="199"/>
      <c r="D18" s="6">
        <f t="shared" ref="D18:O18" si="3">D9+D17+D15+D16</f>
        <v>45281</v>
      </c>
      <c r="E18" s="6">
        <f t="shared" si="3"/>
        <v>39451</v>
      </c>
      <c r="F18" s="6">
        <f t="shared" si="3"/>
        <v>54658</v>
      </c>
      <c r="G18" s="6">
        <f t="shared" si="3"/>
        <v>55065</v>
      </c>
      <c r="H18" s="6">
        <f t="shared" si="3"/>
        <v>51045</v>
      </c>
      <c r="I18" s="6">
        <f t="shared" si="3"/>
        <v>54273</v>
      </c>
      <c r="J18" s="6">
        <f t="shared" si="3"/>
        <v>50650</v>
      </c>
      <c r="K18" s="6">
        <f t="shared" si="3"/>
        <v>38014</v>
      </c>
      <c r="L18" s="6">
        <f t="shared" si="3"/>
        <v>42077</v>
      </c>
      <c r="M18" s="6">
        <f t="shared" si="3"/>
        <v>58234</v>
      </c>
      <c r="N18" s="6">
        <f>N9+N17+N15+N16</f>
        <v>60734</v>
      </c>
      <c r="O18" s="6">
        <f t="shared" si="3"/>
        <v>57815</v>
      </c>
      <c r="P18" s="13">
        <f t="shared" ref="P18:P28" si="4">SUM(D18:O18)</f>
        <v>607297</v>
      </c>
    </row>
    <row r="19" spans="1:16" ht="19.5" customHeight="1" x14ac:dyDescent="0.15">
      <c r="A19" s="200" t="s">
        <v>21</v>
      </c>
      <c r="B19" s="211" t="s">
        <v>125</v>
      </c>
      <c r="C19" s="32" t="s">
        <v>25</v>
      </c>
      <c r="D19" s="4">
        <v>6420</v>
      </c>
      <c r="E19" s="22">
        <f>3640+3280</f>
        <v>6920</v>
      </c>
      <c r="F19" s="4">
        <f>1460+8215</f>
        <v>9675</v>
      </c>
      <c r="G19" s="4">
        <f>1079+6523</f>
        <v>7602</v>
      </c>
      <c r="H19" s="4">
        <f>1004+6913</f>
        <v>7917</v>
      </c>
      <c r="I19" s="4">
        <f>670+5611</f>
        <v>6281</v>
      </c>
      <c r="J19" s="4">
        <f>8636+950</f>
        <v>9586</v>
      </c>
      <c r="K19" s="4">
        <f>695+3873</f>
        <v>4568</v>
      </c>
      <c r="L19" s="4">
        <f>435+3783</f>
        <v>4218</v>
      </c>
      <c r="M19" s="4">
        <f>4805+729</f>
        <v>5534</v>
      </c>
      <c r="N19" s="4">
        <f>1262+809</f>
        <v>2071</v>
      </c>
      <c r="O19" s="4">
        <f>559+1028</f>
        <v>1587</v>
      </c>
      <c r="P19" s="11">
        <f t="shared" si="4"/>
        <v>72379</v>
      </c>
    </row>
    <row r="20" spans="1:16" ht="20.100000000000001" customHeight="1" x14ac:dyDescent="0.15">
      <c r="A20" s="201"/>
      <c r="B20" s="212"/>
      <c r="C20" s="32" t="s">
        <v>26</v>
      </c>
      <c r="D20" s="4">
        <v>6818</v>
      </c>
      <c r="E20" s="22">
        <v>4194</v>
      </c>
      <c r="F20" s="4">
        <v>8609</v>
      </c>
      <c r="G20" s="4">
        <v>5356</v>
      </c>
      <c r="H20" s="4">
        <v>6795</v>
      </c>
      <c r="I20" s="4">
        <v>5617</v>
      </c>
      <c r="J20" s="4">
        <v>5624</v>
      </c>
      <c r="K20" s="4">
        <v>1841</v>
      </c>
      <c r="L20" s="4">
        <v>7271</v>
      </c>
      <c r="M20" s="4">
        <v>9040</v>
      </c>
      <c r="N20" s="4">
        <v>8986</v>
      </c>
      <c r="O20" s="4">
        <v>4382</v>
      </c>
      <c r="P20" s="11">
        <f t="shared" si="4"/>
        <v>74533</v>
      </c>
    </row>
    <row r="21" spans="1:16" ht="20.100000000000001" customHeight="1" x14ac:dyDescent="0.15">
      <c r="A21" s="201"/>
      <c r="B21" s="212"/>
      <c r="C21" s="32" t="s">
        <v>23</v>
      </c>
      <c r="D21" s="4"/>
      <c r="E21" s="22">
        <v>56</v>
      </c>
      <c r="F21" s="4">
        <v>1304</v>
      </c>
      <c r="G21" s="4">
        <v>1721</v>
      </c>
      <c r="H21" s="4">
        <v>799</v>
      </c>
      <c r="I21" s="4">
        <v>2576</v>
      </c>
      <c r="J21" s="4">
        <v>3487</v>
      </c>
      <c r="K21" s="4">
        <v>991</v>
      </c>
      <c r="L21" s="4">
        <v>2775</v>
      </c>
      <c r="M21" s="4">
        <v>700</v>
      </c>
      <c r="N21" s="4"/>
      <c r="O21" s="4">
        <v>203</v>
      </c>
      <c r="P21" s="11">
        <f t="shared" si="4"/>
        <v>14612</v>
      </c>
    </row>
    <row r="22" spans="1:16" ht="20.100000000000001" customHeight="1" x14ac:dyDescent="0.15">
      <c r="A22" s="201"/>
      <c r="B22" s="212"/>
      <c r="C22" s="32" t="s">
        <v>24</v>
      </c>
      <c r="D22" s="4"/>
      <c r="E22" s="22">
        <v>0</v>
      </c>
      <c r="F22" s="4">
        <v>1424</v>
      </c>
      <c r="G22" s="4">
        <v>638</v>
      </c>
      <c r="H22" s="4">
        <v>4280</v>
      </c>
      <c r="I22" s="4">
        <v>1869</v>
      </c>
      <c r="J22" s="4">
        <v>3225</v>
      </c>
      <c r="K22" s="4">
        <v>864</v>
      </c>
      <c r="L22" s="4">
        <v>2183</v>
      </c>
      <c r="M22" s="4">
        <v>379</v>
      </c>
      <c r="N22" s="4">
        <v>855</v>
      </c>
      <c r="O22" s="4">
        <v>47</v>
      </c>
      <c r="P22" s="11">
        <f t="shared" si="4"/>
        <v>15764</v>
      </c>
    </row>
    <row r="23" spans="1:16" ht="20.100000000000001" customHeight="1" x14ac:dyDescent="0.15">
      <c r="A23" s="201"/>
      <c r="B23" s="212"/>
      <c r="C23" s="32" t="s">
        <v>28</v>
      </c>
      <c r="D23" s="4">
        <v>879</v>
      </c>
      <c r="E23" s="22">
        <v>863</v>
      </c>
      <c r="F23" s="4">
        <f>5+1276</f>
        <v>1281</v>
      </c>
      <c r="G23" s="4">
        <v>493</v>
      </c>
      <c r="H23" s="4">
        <v>1460</v>
      </c>
      <c r="I23" s="4">
        <v>768</v>
      </c>
      <c r="J23" s="4">
        <v>452</v>
      </c>
      <c r="K23" s="4">
        <f>411+910</f>
        <v>1321</v>
      </c>
      <c r="L23" s="4">
        <v>1394</v>
      </c>
      <c r="M23" s="4">
        <v>904</v>
      </c>
      <c r="N23" s="4">
        <v>695</v>
      </c>
      <c r="O23" s="4">
        <v>1083</v>
      </c>
      <c r="P23" s="11">
        <f t="shared" si="4"/>
        <v>11593</v>
      </c>
    </row>
    <row r="24" spans="1:16" ht="20.100000000000001" customHeight="1" x14ac:dyDescent="0.15">
      <c r="A24" s="201"/>
      <c r="B24" s="212"/>
      <c r="C24" s="32" t="s">
        <v>29</v>
      </c>
      <c r="D24" s="4">
        <v>224</v>
      </c>
      <c r="E24" s="22">
        <v>314</v>
      </c>
      <c r="F24" s="4">
        <v>441</v>
      </c>
      <c r="G24" s="4">
        <v>258</v>
      </c>
      <c r="H24" s="4">
        <v>219</v>
      </c>
      <c r="I24" s="4">
        <v>385</v>
      </c>
      <c r="J24" s="4">
        <v>246</v>
      </c>
      <c r="K24" s="4">
        <v>468</v>
      </c>
      <c r="L24" s="4">
        <v>964</v>
      </c>
      <c r="M24" s="4">
        <v>393</v>
      </c>
      <c r="N24" s="4">
        <v>329</v>
      </c>
      <c r="O24" s="4">
        <v>237</v>
      </c>
      <c r="P24" s="11">
        <f t="shared" si="4"/>
        <v>4478</v>
      </c>
    </row>
    <row r="25" spans="1:16" ht="20.100000000000001" customHeight="1" x14ac:dyDescent="0.15">
      <c r="A25" s="201"/>
      <c r="B25" s="212"/>
      <c r="C25" s="32" t="s">
        <v>30</v>
      </c>
      <c r="D25" s="4">
        <v>428</v>
      </c>
      <c r="E25" s="22">
        <v>882</v>
      </c>
      <c r="F25" s="4">
        <f>1339+12</f>
        <v>1351</v>
      </c>
      <c r="G25" s="4">
        <v>1701</v>
      </c>
      <c r="H25" s="4">
        <v>1663</v>
      </c>
      <c r="I25" s="4">
        <v>1761</v>
      </c>
      <c r="J25" s="4">
        <v>859</v>
      </c>
      <c r="K25" s="4">
        <v>1883</v>
      </c>
      <c r="L25" s="4">
        <v>998</v>
      </c>
      <c r="M25" s="4">
        <v>865</v>
      </c>
      <c r="N25" s="4">
        <v>1324</v>
      </c>
      <c r="O25" s="4">
        <v>384</v>
      </c>
      <c r="P25" s="11">
        <f t="shared" si="4"/>
        <v>14099</v>
      </c>
    </row>
    <row r="26" spans="1:16" ht="20.100000000000001" customHeight="1" x14ac:dyDescent="0.15">
      <c r="A26" s="201"/>
      <c r="B26" s="212"/>
      <c r="C26" s="32" t="s">
        <v>34</v>
      </c>
      <c r="D26" s="4">
        <v>925</v>
      </c>
      <c r="E26" s="22">
        <v>792</v>
      </c>
      <c r="F26" s="4">
        <v>732</v>
      </c>
      <c r="G26" s="4">
        <v>443</v>
      </c>
      <c r="H26" s="4">
        <v>651</v>
      </c>
      <c r="I26" s="4">
        <v>254</v>
      </c>
      <c r="J26" s="4">
        <v>897</v>
      </c>
      <c r="K26" s="4">
        <v>121</v>
      </c>
      <c r="L26" s="4">
        <v>1459</v>
      </c>
      <c r="M26" s="4">
        <v>64</v>
      </c>
      <c r="N26" s="4">
        <v>558</v>
      </c>
      <c r="O26" s="4">
        <v>995</v>
      </c>
      <c r="P26" s="11">
        <f t="shared" si="4"/>
        <v>7891</v>
      </c>
    </row>
    <row r="27" spans="1:16" ht="20.100000000000001" customHeight="1" x14ac:dyDescent="0.15">
      <c r="A27" s="201"/>
      <c r="B27" s="212"/>
      <c r="C27" s="32" t="s">
        <v>33</v>
      </c>
      <c r="D27" s="4">
        <v>171</v>
      </c>
      <c r="E27" s="22">
        <v>0</v>
      </c>
      <c r="F27" s="4">
        <v>463</v>
      </c>
      <c r="G27" s="4">
        <v>132</v>
      </c>
      <c r="H27" s="4">
        <v>448</v>
      </c>
      <c r="I27" s="4">
        <v>515</v>
      </c>
      <c r="J27" s="4">
        <v>236</v>
      </c>
      <c r="K27" s="4">
        <v>214</v>
      </c>
      <c r="L27" s="4">
        <v>281</v>
      </c>
      <c r="M27" s="4">
        <v>325</v>
      </c>
      <c r="N27" s="4">
        <v>546</v>
      </c>
      <c r="O27" s="4">
        <v>1280</v>
      </c>
      <c r="P27" s="11">
        <f t="shared" si="4"/>
        <v>4611</v>
      </c>
    </row>
    <row r="28" spans="1:16" ht="20.100000000000001" customHeight="1" x14ac:dyDescent="0.15">
      <c r="A28" s="201"/>
      <c r="B28" s="212"/>
      <c r="C28" s="32" t="s">
        <v>31</v>
      </c>
      <c r="D28" s="4">
        <v>431</v>
      </c>
      <c r="E28" s="22">
        <v>373</v>
      </c>
      <c r="F28" s="4">
        <v>837</v>
      </c>
      <c r="G28" s="4">
        <v>957</v>
      </c>
      <c r="H28" s="4">
        <v>781</v>
      </c>
      <c r="I28" s="4">
        <v>674</v>
      </c>
      <c r="J28" s="4">
        <v>429</v>
      </c>
      <c r="K28" s="4">
        <v>960</v>
      </c>
      <c r="L28" s="4">
        <v>402</v>
      </c>
      <c r="M28" s="4">
        <v>607</v>
      </c>
      <c r="N28" s="4">
        <v>1142</v>
      </c>
      <c r="O28" s="4">
        <v>852</v>
      </c>
      <c r="P28" s="11">
        <f t="shared" si="4"/>
        <v>8445</v>
      </c>
    </row>
    <row r="29" spans="1:16" ht="20.100000000000001" customHeight="1" x14ac:dyDescent="0.15">
      <c r="A29" s="201"/>
      <c r="B29" s="212"/>
      <c r="C29" s="32" t="s">
        <v>110</v>
      </c>
      <c r="D29" s="4">
        <v>950</v>
      </c>
      <c r="E29" s="22">
        <v>1345</v>
      </c>
      <c r="F29" s="4">
        <v>2562</v>
      </c>
      <c r="G29" s="4">
        <v>1814</v>
      </c>
      <c r="H29" s="4">
        <v>1190</v>
      </c>
      <c r="I29" s="4">
        <v>1540</v>
      </c>
      <c r="J29" s="4">
        <f>1+1762</f>
        <v>1763</v>
      </c>
      <c r="K29" s="4">
        <v>2110</v>
      </c>
      <c r="L29" s="4">
        <v>1815</v>
      </c>
      <c r="M29" s="4">
        <v>3720</v>
      </c>
      <c r="N29" s="4">
        <v>3340</v>
      </c>
      <c r="O29" s="4">
        <v>3654</v>
      </c>
      <c r="P29" s="11">
        <f t="shared" ref="P29:P46" si="5">SUM(D29:O29)</f>
        <v>25803</v>
      </c>
    </row>
    <row r="30" spans="1:16" ht="20.100000000000001" customHeight="1" x14ac:dyDescent="0.15">
      <c r="A30" s="201"/>
      <c r="B30" s="212"/>
      <c r="C30" s="32" t="s">
        <v>27</v>
      </c>
      <c r="D30" s="4">
        <v>294</v>
      </c>
      <c r="E30" s="22">
        <v>418</v>
      </c>
      <c r="F30" s="4">
        <v>54</v>
      </c>
      <c r="G30" s="4">
        <v>720</v>
      </c>
      <c r="H30" s="4">
        <v>497</v>
      </c>
      <c r="I30" s="4">
        <v>879</v>
      </c>
      <c r="J30" s="4">
        <v>365</v>
      </c>
      <c r="K30" s="4">
        <v>1789</v>
      </c>
      <c r="L30" s="4">
        <v>943</v>
      </c>
      <c r="M30" s="4">
        <v>189</v>
      </c>
      <c r="N30" s="4">
        <v>1230</v>
      </c>
      <c r="O30" s="4">
        <v>787</v>
      </c>
      <c r="P30" s="11">
        <f t="shared" si="5"/>
        <v>8165</v>
      </c>
    </row>
    <row r="31" spans="1:16" ht="20.100000000000001" customHeight="1" x14ac:dyDescent="0.15">
      <c r="A31" s="201"/>
      <c r="B31" s="212"/>
      <c r="C31" s="32" t="s">
        <v>32</v>
      </c>
      <c r="D31" s="4">
        <v>475</v>
      </c>
      <c r="E31" s="22">
        <v>820</v>
      </c>
      <c r="F31" s="4">
        <v>319</v>
      </c>
      <c r="G31" s="4">
        <v>188</v>
      </c>
      <c r="H31" s="4">
        <v>306</v>
      </c>
      <c r="I31" s="4">
        <v>431</v>
      </c>
      <c r="J31" s="4">
        <v>477</v>
      </c>
      <c r="K31" s="4">
        <v>635</v>
      </c>
      <c r="L31" s="4">
        <v>0</v>
      </c>
      <c r="M31" s="4">
        <v>247</v>
      </c>
      <c r="N31" s="4">
        <v>1197</v>
      </c>
      <c r="O31" s="4">
        <v>313</v>
      </c>
      <c r="P31" s="11">
        <f t="shared" si="5"/>
        <v>5408</v>
      </c>
    </row>
    <row r="32" spans="1:16" ht="20.100000000000001" customHeight="1" x14ac:dyDescent="0.15">
      <c r="A32" s="201"/>
      <c r="B32" s="212"/>
      <c r="C32" s="32" t="s">
        <v>50</v>
      </c>
      <c r="D32" s="4">
        <v>251</v>
      </c>
      <c r="E32" s="22">
        <v>0</v>
      </c>
      <c r="F32" s="4">
        <v>195</v>
      </c>
      <c r="G32" s="4">
        <v>1707</v>
      </c>
      <c r="H32" s="4">
        <v>2202</v>
      </c>
      <c r="I32" s="4">
        <v>1806</v>
      </c>
      <c r="J32" s="4">
        <f>159+499</f>
        <v>658</v>
      </c>
      <c r="K32" s="4">
        <v>524</v>
      </c>
      <c r="L32" s="4">
        <v>896</v>
      </c>
      <c r="M32" s="4">
        <v>2275</v>
      </c>
      <c r="N32" s="4">
        <v>3</v>
      </c>
      <c r="O32" s="4">
        <v>194</v>
      </c>
      <c r="P32" s="11">
        <f t="shared" si="5"/>
        <v>10711</v>
      </c>
    </row>
    <row r="33" spans="1:16" ht="20.100000000000001" customHeight="1" x14ac:dyDescent="0.15">
      <c r="A33" s="201"/>
      <c r="B33" s="212"/>
      <c r="C33" s="32" t="s">
        <v>98</v>
      </c>
      <c r="D33" s="4">
        <v>112</v>
      </c>
      <c r="E33" s="22">
        <v>413</v>
      </c>
      <c r="F33" s="4">
        <v>90</v>
      </c>
      <c r="G33" s="4">
        <v>474</v>
      </c>
      <c r="H33" s="4">
        <f>644+65</f>
        <v>709</v>
      </c>
      <c r="I33" s="4">
        <f>426+106</f>
        <v>532</v>
      </c>
      <c r="J33" s="4">
        <f>154+545</f>
        <v>699</v>
      </c>
      <c r="K33" s="4">
        <v>212</v>
      </c>
      <c r="L33" s="4">
        <f>808+618</f>
        <v>1426</v>
      </c>
      <c r="M33" s="4">
        <f>615+26</f>
        <v>641</v>
      </c>
      <c r="N33" s="4">
        <v>1075</v>
      </c>
      <c r="O33" s="4">
        <v>493</v>
      </c>
      <c r="P33" s="11">
        <f t="shared" si="5"/>
        <v>6876</v>
      </c>
    </row>
    <row r="34" spans="1:16" ht="20.100000000000001" customHeight="1" x14ac:dyDescent="0.15">
      <c r="A34" s="201"/>
      <c r="B34" s="212"/>
      <c r="C34" s="32" t="s">
        <v>131</v>
      </c>
      <c r="D34" s="4"/>
      <c r="E34" s="22">
        <v>0</v>
      </c>
      <c r="F34" s="4">
        <v>0</v>
      </c>
      <c r="G34" s="35">
        <v>0</v>
      </c>
      <c r="H34" s="35">
        <v>0</v>
      </c>
      <c r="I34" s="35">
        <v>0</v>
      </c>
      <c r="J34" s="35">
        <v>168</v>
      </c>
      <c r="K34" s="34">
        <v>0</v>
      </c>
      <c r="L34" s="4">
        <v>0</v>
      </c>
      <c r="M34" s="36">
        <v>0</v>
      </c>
      <c r="N34" s="4"/>
      <c r="P34" s="11">
        <f t="shared" si="5"/>
        <v>168</v>
      </c>
    </row>
    <row r="35" spans="1:16" ht="20.100000000000001" customHeight="1" x14ac:dyDescent="0.15">
      <c r="A35" s="201"/>
      <c r="B35" s="212"/>
      <c r="C35" s="32" t="s">
        <v>19</v>
      </c>
      <c r="D35" s="4">
        <v>417</v>
      </c>
      <c r="E35" s="22">
        <v>243</v>
      </c>
      <c r="F35" s="4">
        <f>275+79</f>
        <v>354</v>
      </c>
      <c r="G35" s="4">
        <v>192</v>
      </c>
      <c r="H35" s="4">
        <f>454+182</f>
        <v>636</v>
      </c>
      <c r="I35" s="4">
        <f>100+22</f>
        <v>122</v>
      </c>
      <c r="J35" s="4">
        <v>695</v>
      </c>
      <c r="K35" s="4">
        <f>324+129</f>
        <v>453</v>
      </c>
      <c r="L35" s="4">
        <f>225+360</f>
        <v>585</v>
      </c>
      <c r="M35" s="4">
        <f>145+170</f>
        <v>315</v>
      </c>
      <c r="N35" s="4">
        <f>212+275</f>
        <v>487</v>
      </c>
      <c r="O35" s="4">
        <v>24</v>
      </c>
      <c r="P35" s="11">
        <f>SUM(D35:O35)</f>
        <v>4523</v>
      </c>
    </row>
    <row r="36" spans="1:16" ht="20.100000000000001" customHeight="1" x14ac:dyDescent="0.15">
      <c r="A36" s="201"/>
      <c r="B36" s="213"/>
      <c r="C36" s="19" t="s">
        <v>130</v>
      </c>
      <c r="D36" s="20">
        <f t="shared" ref="D36:O36" si="6">SUM(D19:D35)</f>
        <v>18795</v>
      </c>
      <c r="E36" s="20">
        <f t="shared" si="6"/>
        <v>17633</v>
      </c>
      <c r="F36" s="20">
        <f t="shared" si="6"/>
        <v>29691</v>
      </c>
      <c r="G36" s="20">
        <f t="shared" si="6"/>
        <v>24396</v>
      </c>
      <c r="H36" s="20">
        <f t="shared" si="6"/>
        <v>30553</v>
      </c>
      <c r="I36" s="20">
        <f t="shared" si="6"/>
        <v>26010</v>
      </c>
      <c r="J36" s="20">
        <f t="shared" si="6"/>
        <v>29866</v>
      </c>
      <c r="K36" s="20">
        <f t="shared" si="6"/>
        <v>18954</v>
      </c>
      <c r="L36" s="20">
        <f t="shared" si="6"/>
        <v>27610</v>
      </c>
      <c r="M36" s="20">
        <f t="shared" si="6"/>
        <v>26198</v>
      </c>
      <c r="N36" s="20">
        <f t="shared" si="6"/>
        <v>23838</v>
      </c>
      <c r="O36" s="20">
        <f t="shared" si="6"/>
        <v>16515</v>
      </c>
      <c r="P36" s="11">
        <f t="shared" si="5"/>
        <v>290059</v>
      </c>
    </row>
    <row r="37" spans="1:16" ht="20.100000000000001" customHeight="1" x14ac:dyDescent="0.15">
      <c r="A37" s="201"/>
      <c r="B37" s="220" t="s">
        <v>124</v>
      </c>
      <c r="C37" s="32" t="s">
        <v>36</v>
      </c>
      <c r="D37" s="4">
        <v>38</v>
      </c>
      <c r="E37" s="22">
        <v>34</v>
      </c>
      <c r="F37" s="4">
        <v>80</v>
      </c>
      <c r="G37" s="4">
        <v>30</v>
      </c>
      <c r="H37" s="4">
        <v>111</v>
      </c>
      <c r="I37" s="4">
        <v>63</v>
      </c>
      <c r="J37" s="4">
        <v>66</v>
      </c>
      <c r="K37" s="4">
        <v>24</v>
      </c>
      <c r="L37" s="4">
        <v>51</v>
      </c>
      <c r="M37" s="4">
        <v>48</v>
      </c>
      <c r="N37" s="4">
        <v>40</v>
      </c>
      <c r="O37" s="4">
        <v>44</v>
      </c>
      <c r="P37" s="11">
        <f t="shared" si="5"/>
        <v>629</v>
      </c>
    </row>
    <row r="38" spans="1:16" ht="20.100000000000001" customHeight="1" x14ac:dyDescent="0.15">
      <c r="A38" s="201"/>
      <c r="B38" s="221"/>
      <c r="C38" s="32" t="s">
        <v>46</v>
      </c>
      <c r="D38" s="4">
        <v>46</v>
      </c>
      <c r="E38" s="22">
        <v>33</v>
      </c>
      <c r="F38" s="4">
        <v>122</v>
      </c>
      <c r="G38" s="4">
        <v>102</v>
      </c>
      <c r="H38" s="4">
        <v>190</v>
      </c>
      <c r="I38" s="4">
        <v>76</v>
      </c>
      <c r="J38" s="4">
        <v>102</v>
      </c>
      <c r="K38" s="4">
        <v>184</v>
      </c>
      <c r="L38" s="4">
        <v>89</v>
      </c>
      <c r="M38" s="4">
        <v>131</v>
      </c>
      <c r="N38" s="4">
        <v>98</v>
      </c>
      <c r="O38" s="4">
        <v>86</v>
      </c>
      <c r="P38" s="11">
        <f t="shared" si="5"/>
        <v>1259</v>
      </c>
    </row>
    <row r="39" spans="1:16" ht="20.100000000000001" customHeight="1" x14ac:dyDescent="0.15">
      <c r="A39" s="201"/>
      <c r="B39" s="221"/>
      <c r="C39" s="32" t="s">
        <v>136</v>
      </c>
      <c r="D39" s="4">
        <v>172</v>
      </c>
      <c r="E39" s="22">
        <v>240</v>
      </c>
      <c r="F39" s="4">
        <v>163</v>
      </c>
      <c r="G39" s="4">
        <v>293</v>
      </c>
      <c r="H39" s="4">
        <v>179</v>
      </c>
      <c r="I39" s="4">
        <v>259</v>
      </c>
      <c r="J39" s="4">
        <v>133</v>
      </c>
      <c r="K39" s="4">
        <v>287</v>
      </c>
      <c r="L39" s="4">
        <v>46</v>
      </c>
      <c r="M39" s="4">
        <v>345</v>
      </c>
      <c r="N39" s="4">
        <v>312</v>
      </c>
      <c r="O39" s="4">
        <v>238</v>
      </c>
      <c r="P39" s="11">
        <f t="shared" si="5"/>
        <v>2667</v>
      </c>
    </row>
    <row r="40" spans="1:16" ht="20.100000000000001" customHeight="1" x14ac:dyDescent="0.15">
      <c r="A40" s="201"/>
      <c r="B40" s="221"/>
      <c r="C40" s="32" t="s">
        <v>19</v>
      </c>
      <c r="D40" s="4">
        <v>167</v>
      </c>
      <c r="E40" s="22">
        <v>102</v>
      </c>
      <c r="F40" s="4">
        <f>76+5</f>
        <v>81</v>
      </c>
      <c r="G40" s="4">
        <f>153+23</f>
        <v>176</v>
      </c>
      <c r="H40" s="4">
        <v>120</v>
      </c>
      <c r="I40" s="4">
        <v>263</v>
      </c>
      <c r="J40" s="4">
        <v>105</v>
      </c>
      <c r="K40" s="4">
        <v>148</v>
      </c>
      <c r="L40" s="4">
        <v>170</v>
      </c>
      <c r="M40" s="4">
        <f>14+108</f>
        <v>122</v>
      </c>
      <c r="N40" s="4">
        <f>15+142</f>
        <v>157</v>
      </c>
      <c r="O40" s="4">
        <f>178+165</f>
        <v>343</v>
      </c>
      <c r="P40" s="11">
        <f t="shared" si="5"/>
        <v>1954</v>
      </c>
    </row>
    <row r="41" spans="1:16" ht="20.100000000000001" customHeight="1" x14ac:dyDescent="0.15">
      <c r="A41" s="201"/>
      <c r="B41" s="222"/>
      <c r="C41" s="19" t="s">
        <v>130</v>
      </c>
      <c r="D41" s="20">
        <f t="shared" ref="D41:O41" si="7">SUM(D37:D40)</f>
        <v>423</v>
      </c>
      <c r="E41" s="20">
        <f t="shared" si="7"/>
        <v>409</v>
      </c>
      <c r="F41" s="20">
        <f t="shared" si="7"/>
        <v>446</v>
      </c>
      <c r="G41" s="20">
        <f t="shared" si="7"/>
        <v>601</v>
      </c>
      <c r="H41" s="20">
        <f t="shared" si="7"/>
        <v>600</v>
      </c>
      <c r="I41" s="20">
        <f t="shared" si="7"/>
        <v>661</v>
      </c>
      <c r="J41" s="20">
        <f t="shared" si="7"/>
        <v>406</v>
      </c>
      <c r="K41" s="20">
        <f t="shared" si="7"/>
        <v>643</v>
      </c>
      <c r="L41" s="20">
        <f t="shared" si="7"/>
        <v>356</v>
      </c>
      <c r="M41" s="20">
        <f t="shared" si="7"/>
        <v>646</v>
      </c>
      <c r="N41" s="20">
        <f t="shared" si="7"/>
        <v>607</v>
      </c>
      <c r="O41" s="20">
        <f t="shared" si="7"/>
        <v>711</v>
      </c>
      <c r="P41" s="11">
        <f t="shared" si="5"/>
        <v>6509</v>
      </c>
    </row>
    <row r="42" spans="1:16" ht="20.100000000000001" customHeight="1" x14ac:dyDescent="0.15">
      <c r="A42" s="201"/>
      <c r="B42" s="216" t="s">
        <v>127</v>
      </c>
      <c r="C42" s="217"/>
      <c r="D42" s="4">
        <v>104</v>
      </c>
      <c r="E42" s="22">
        <v>428</v>
      </c>
      <c r="F42" s="4">
        <v>85</v>
      </c>
      <c r="G42" s="4">
        <f>263+33</f>
        <v>296</v>
      </c>
      <c r="H42" s="4">
        <v>137</v>
      </c>
      <c r="I42" s="4">
        <v>120</v>
      </c>
      <c r="J42" s="4">
        <v>78</v>
      </c>
      <c r="K42" s="4">
        <v>91</v>
      </c>
      <c r="L42" s="4">
        <v>85</v>
      </c>
      <c r="M42" s="4">
        <v>152</v>
      </c>
      <c r="N42" s="4">
        <v>95</v>
      </c>
      <c r="O42" s="4">
        <v>127</v>
      </c>
      <c r="P42" s="11">
        <f t="shared" si="5"/>
        <v>1798</v>
      </c>
    </row>
    <row r="43" spans="1:16" ht="24.75" customHeight="1" x14ac:dyDescent="0.15">
      <c r="A43" s="201"/>
      <c r="B43" s="199" t="s">
        <v>40</v>
      </c>
      <c r="C43" s="199"/>
      <c r="D43" s="6">
        <f t="shared" ref="D43:O43" si="8">D36+D41+D42</f>
        <v>19322</v>
      </c>
      <c r="E43" s="6">
        <f t="shared" si="8"/>
        <v>18470</v>
      </c>
      <c r="F43" s="6">
        <f t="shared" si="8"/>
        <v>30222</v>
      </c>
      <c r="G43" s="6">
        <f t="shared" si="8"/>
        <v>25293</v>
      </c>
      <c r="H43" s="6">
        <f t="shared" si="8"/>
        <v>31290</v>
      </c>
      <c r="I43" s="6">
        <f t="shared" si="8"/>
        <v>26791</v>
      </c>
      <c r="J43" s="6">
        <f t="shared" si="8"/>
        <v>30350</v>
      </c>
      <c r="K43" s="6">
        <f t="shared" si="8"/>
        <v>19688</v>
      </c>
      <c r="L43" s="6">
        <f t="shared" si="8"/>
        <v>28051</v>
      </c>
      <c r="M43" s="6">
        <f t="shared" si="8"/>
        <v>26996</v>
      </c>
      <c r="N43" s="6">
        <f t="shared" si="8"/>
        <v>24540</v>
      </c>
      <c r="O43" s="6">
        <f t="shared" si="8"/>
        <v>17353</v>
      </c>
      <c r="P43" s="13">
        <f t="shared" si="5"/>
        <v>298366</v>
      </c>
    </row>
    <row r="44" spans="1:16" s="2" customFormat="1" ht="26.45" customHeight="1" x14ac:dyDescent="0.15">
      <c r="A44" s="202" t="s">
        <v>41</v>
      </c>
      <c r="B44" s="203"/>
      <c r="C44" s="203"/>
      <c r="D44" s="7">
        <f t="shared" ref="D44:O44" si="9">SUM(D18,D43)</f>
        <v>64603</v>
      </c>
      <c r="E44" s="7">
        <f t="shared" si="9"/>
        <v>57921</v>
      </c>
      <c r="F44" s="7">
        <f t="shared" si="9"/>
        <v>84880</v>
      </c>
      <c r="G44" s="7">
        <f t="shared" si="9"/>
        <v>80358</v>
      </c>
      <c r="H44" s="7">
        <f t="shared" si="9"/>
        <v>82335</v>
      </c>
      <c r="I44" s="7">
        <f t="shared" si="9"/>
        <v>81064</v>
      </c>
      <c r="J44" s="7">
        <f t="shared" si="9"/>
        <v>81000</v>
      </c>
      <c r="K44" s="7">
        <f t="shared" si="9"/>
        <v>57702</v>
      </c>
      <c r="L44" s="7">
        <f t="shared" si="9"/>
        <v>70128</v>
      </c>
      <c r="M44" s="7">
        <f t="shared" si="9"/>
        <v>85230</v>
      </c>
      <c r="N44" s="7">
        <f t="shared" si="9"/>
        <v>85274</v>
      </c>
      <c r="O44" s="7">
        <f t="shared" si="9"/>
        <v>75168</v>
      </c>
      <c r="P44" s="12">
        <f t="shared" si="5"/>
        <v>905663</v>
      </c>
    </row>
    <row r="45" spans="1:16" ht="19.5" customHeight="1" x14ac:dyDescent="0.15">
      <c r="A45" s="204" t="s">
        <v>43</v>
      </c>
      <c r="B45" s="205"/>
      <c r="C45" s="205"/>
      <c r="D45" s="4">
        <v>25159</v>
      </c>
      <c r="E45" s="22">
        <f>24220+799</f>
        <v>25019</v>
      </c>
      <c r="F45" s="4">
        <f>23740+21924</f>
        <v>45664</v>
      </c>
      <c r="G45" s="4">
        <f>25441+26275</f>
        <v>51716</v>
      </c>
      <c r="H45" s="4">
        <f>27107+18443</f>
        <v>45550</v>
      </c>
      <c r="I45" s="4">
        <f>34989+16019</f>
        <v>51008</v>
      </c>
      <c r="J45" s="4">
        <f>15730+26573</f>
        <v>42303</v>
      </c>
      <c r="K45" s="4">
        <f>33542+9437</f>
        <v>42979</v>
      </c>
      <c r="L45" s="4">
        <f>23734+14763</f>
        <v>38497</v>
      </c>
      <c r="M45" s="4">
        <f>15065+28948</f>
        <v>44013</v>
      </c>
      <c r="N45" s="4">
        <f>16148+29901</f>
        <v>46049</v>
      </c>
      <c r="O45" s="4">
        <f>29149+22844</f>
        <v>51993</v>
      </c>
      <c r="P45" s="11">
        <f t="shared" si="5"/>
        <v>509950</v>
      </c>
    </row>
    <row r="46" spans="1:16" ht="20.100000000000001" customHeight="1" x14ac:dyDescent="0.15">
      <c r="A46" s="218" t="s">
        <v>129</v>
      </c>
      <c r="B46" s="219"/>
      <c r="C46" s="217"/>
      <c r="D46" s="16">
        <v>1066</v>
      </c>
      <c r="E46" s="22">
        <f>1361+25</f>
        <v>1386</v>
      </c>
      <c r="F46" s="16">
        <f>2582+359</f>
        <v>2941</v>
      </c>
      <c r="G46" s="16">
        <f>2033+900</f>
        <v>2933</v>
      </c>
      <c r="H46" s="16">
        <f>1802+89</f>
        <v>1891</v>
      </c>
      <c r="I46" s="16">
        <f>1985+386</f>
        <v>2371</v>
      </c>
      <c r="J46" s="16">
        <f>791+1722</f>
        <v>2513</v>
      </c>
      <c r="K46" s="16">
        <f>1101+172</f>
        <v>1273</v>
      </c>
      <c r="L46" s="16">
        <f>1879+47</f>
        <v>1926</v>
      </c>
      <c r="M46" s="16">
        <f>1127+40</f>
        <v>1167</v>
      </c>
      <c r="N46" s="16">
        <f>627+2011</f>
        <v>2638</v>
      </c>
      <c r="O46" s="16">
        <f>2024+375</f>
        <v>2399</v>
      </c>
      <c r="P46" s="17">
        <f t="shared" si="5"/>
        <v>24504</v>
      </c>
    </row>
    <row r="47" spans="1:16" s="2" customFormat="1" ht="27.75" customHeight="1" thickBot="1" x14ac:dyDescent="0.2">
      <c r="A47" s="197" t="s">
        <v>42</v>
      </c>
      <c r="B47" s="198"/>
      <c r="C47" s="198"/>
      <c r="D47" s="21">
        <f t="shared" ref="D47:O47" si="10">D44+D45+D46</f>
        <v>90828</v>
      </c>
      <c r="E47" s="21">
        <f t="shared" si="10"/>
        <v>84326</v>
      </c>
      <c r="F47" s="21">
        <f t="shared" si="10"/>
        <v>133485</v>
      </c>
      <c r="G47" s="21">
        <f t="shared" si="10"/>
        <v>135007</v>
      </c>
      <c r="H47" s="21">
        <f t="shared" si="10"/>
        <v>129776</v>
      </c>
      <c r="I47" s="21">
        <f t="shared" si="10"/>
        <v>134443</v>
      </c>
      <c r="J47" s="21">
        <f t="shared" si="10"/>
        <v>125816</v>
      </c>
      <c r="K47" s="21">
        <f t="shared" si="10"/>
        <v>101954</v>
      </c>
      <c r="L47" s="21">
        <f t="shared" si="10"/>
        <v>110551</v>
      </c>
      <c r="M47" s="21">
        <f t="shared" si="10"/>
        <v>130410</v>
      </c>
      <c r="N47" s="21">
        <f t="shared" si="10"/>
        <v>133961</v>
      </c>
      <c r="O47" s="21">
        <f t="shared" si="10"/>
        <v>129560</v>
      </c>
      <c r="P47" s="14">
        <f>SUM(D47:O47)</f>
        <v>1440117</v>
      </c>
    </row>
    <row r="48" spans="1:16" ht="20.100000000000001" customHeight="1" x14ac:dyDescent="0.15"/>
  </sheetData>
  <mergeCells count="17">
    <mergeCell ref="A1:P1"/>
    <mergeCell ref="A2:C2"/>
    <mergeCell ref="A3:A18"/>
    <mergeCell ref="B3:B9"/>
    <mergeCell ref="B10:B15"/>
    <mergeCell ref="B16:C16"/>
    <mergeCell ref="B17:C17"/>
    <mergeCell ref="B18:C18"/>
    <mergeCell ref="A45:C45"/>
    <mergeCell ref="A46:C46"/>
    <mergeCell ref="A47:C47"/>
    <mergeCell ref="A19:A43"/>
    <mergeCell ref="B19:B36"/>
    <mergeCell ref="B37:B41"/>
    <mergeCell ref="B42:C42"/>
    <mergeCell ref="B43:C43"/>
    <mergeCell ref="A44:C44"/>
  </mergeCells>
  <phoneticPr fontId="14" type="noConversion"/>
  <pageMargins left="1.34" right="0.51181102362204722" top="0.72" bottom="0.35433070866141736" header="0.11811023622047245" footer="0.11811023622047245"/>
  <pageSetup paperSize="9" scale="54" fitToWidth="2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P49"/>
  <sheetViews>
    <sheetView zoomScale="90" zoomScaleNormal="90" workbookViewId="0">
      <pane xSplit="3" ySplit="2" topLeftCell="D27" activePane="bottomRight" state="frozen"/>
      <selection pane="topRight" activeCell="D1" sqref="D1"/>
      <selection pane="bottomLeft" activeCell="A3" sqref="A3"/>
      <selection pane="bottomRight" activeCell="D15" sqref="D15"/>
    </sheetView>
  </sheetViews>
  <sheetFormatPr defaultRowHeight="13.5" x14ac:dyDescent="0.15"/>
  <cols>
    <col min="1" max="1" width="5.21875" customWidth="1"/>
    <col min="2" max="2" width="5.44140625" customWidth="1"/>
    <col min="3" max="3" width="11.44140625" customWidth="1"/>
    <col min="4" max="15" width="13.5546875" customWidth="1"/>
    <col min="16" max="16" width="14.6640625" style="2" customWidth="1"/>
  </cols>
  <sheetData>
    <row r="1" spans="1:16" ht="51" customHeight="1" thickBot="1" x14ac:dyDescent="0.2">
      <c r="A1" s="207" t="s">
        <v>148</v>
      </c>
      <c r="B1" s="208"/>
      <c r="C1" s="208"/>
      <c r="D1" s="208"/>
      <c r="E1" s="208"/>
      <c r="F1" s="208"/>
      <c r="G1" s="208"/>
      <c r="H1" s="208"/>
      <c r="I1" s="208"/>
      <c r="J1" s="208"/>
      <c r="K1" s="208"/>
      <c r="L1" s="208"/>
      <c r="M1" s="208"/>
      <c r="N1" s="208"/>
      <c r="O1" s="208"/>
      <c r="P1" s="208"/>
    </row>
    <row r="2" spans="1:16" ht="25.5" customHeight="1" x14ac:dyDescent="0.15">
      <c r="A2" s="209" t="s">
        <v>13</v>
      </c>
      <c r="B2" s="210"/>
      <c r="C2" s="210"/>
      <c r="D2" s="38" t="s">
        <v>0</v>
      </c>
      <c r="E2" s="39" t="s">
        <v>149</v>
      </c>
      <c r="F2" s="38" t="s">
        <v>2</v>
      </c>
      <c r="G2" s="38" t="s">
        <v>3</v>
      </c>
      <c r="H2" s="38" t="s">
        <v>4</v>
      </c>
      <c r="I2" s="38" t="s">
        <v>5</v>
      </c>
      <c r="J2" s="38" t="s">
        <v>6</v>
      </c>
      <c r="K2" s="38" t="s">
        <v>7</v>
      </c>
      <c r="L2" s="38" t="s">
        <v>8</v>
      </c>
      <c r="M2" s="38" t="s">
        <v>9</v>
      </c>
      <c r="N2" s="38" t="s">
        <v>10</v>
      </c>
      <c r="O2" s="38" t="s">
        <v>11</v>
      </c>
      <c r="P2" s="9" t="s">
        <v>44</v>
      </c>
    </row>
    <row r="3" spans="1:16" ht="19.899999999999999" customHeight="1" x14ac:dyDescent="0.15">
      <c r="A3" s="200" t="s">
        <v>14</v>
      </c>
      <c r="B3" s="206" t="s">
        <v>122</v>
      </c>
      <c r="C3" s="37" t="s">
        <v>16</v>
      </c>
      <c r="D3" s="18">
        <v>46235</v>
      </c>
      <c r="E3" s="22">
        <f>37251+1</f>
        <v>37252</v>
      </c>
      <c r="F3" s="42">
        <v>43242</v>
      </c>
      <c r="G3" s="4">
        <v>47144</v>
      </c>
      <c r="H3" s="4">
        <f>109+49804</f>
        <v>49913</v>
      </c>
      <c r="I3" s="4">
        <f>46983+1</f>
        <v>46984</v>
      </c>
      <c r="J3" s="4">
        <v>48902</v>
      </c>
      <c r="K3" s="4">
        <v>37484</v>
      </c>
      <c r="L3" s="4">
        <v>41443</v>
      </c>
      <c r="M3" s="4">
        <v>45259</v>
      </c>
      <c r="N3" s="4">
        <v>49123</v>
      </c>
      <c r="O3" s="4">
        <v>42573</v>
      </c>
      <c r="P3" s="11">
        <f t="shared" ref="P3:P18" si="0">SUM(D3:O3)</f>
        <v>535554</v>
      </c>
    </row>
    <row r="4" spans="1:16" ht="19.899999999999999" customHeight="1" x14ac:dyDescent="0.15">
      <c r="A4" s="200"/>
      <c r="B4" s="205"/>
      <c r="C4" s="37" t="s">
        <v>17</v>
      </c>
      <c r="D4" s="18">
        <f>690+9+1915</f>
        <v>2614</v>
      </c>
      <c r="E4" s="22">
        <f>986+1066</f>
        <v>2052</v>
      </c>
      <c r="F4" s="42">
        <f>422+464</f>
        <v>886</v>
      </c>
      <c r="G4" s="4">
        <f>43+293+34</f>
        <v>370</v>
      </c>
      <c r="H4" s="4">
        <v>511</v>
      </c>
      <c r="I4" s="4">
        <f>644+10</f>
        <v>654</v>
      </c>
      <c r="J4" s="4">
        <f>76+4493</f>
        <v>4569</v>
      </c>
      <c r="K4" s="4">
        <f>3535+33</f>
        <v>3568</v>
      </c>
      <c r="L4" s="4">
        <v>3547</v>
      </c>
      <c r="M4" s="4">
        <v>3951</v>
      </c>
      <c r="N4" s="4">
        <v>1588</v>
      </c>
      <c r="O4" s="4">
        <v>2489</v>
      </c>
      <c r="P4" s="11">
        <f t="shared" si="0"/>
        <v>26799</v>
      </c>
    </row>
    <row r="5" spans="1:16" ht="19.899999999999999" customHeight="1" x14ac:dyDescent="0.15">
      <c r="A5" s="200"/>
      <c r="B5" s="205"/>
      <c r="C5" s="37" t="s">
        <v>18</v>
      </c>
      <c r="D5" s="18">
        <v>2806</v>
      </c>
      <c r="E5" s="22">
        <v>1714</v>
      </c>
      <c r="F5" s="42">
        <f>10+3484</f>
        <v>3494</v>
      </c>
      <c r="G5" s="4">
        <f>53+1912</f>
        <v>1965</v>
      </c>
      <c r="H5" s="4">
        <v>1834</v>
      </c>
      <c r="I5" s="4">
        <v>1851</v>
      </c>
      <c r="J5" s="4">
        <f>73+1511</f>
        <v>1584</v>
      </c>
      <c r="K5" s="4">
        <v>1491</v>
      </c>
      <c r="L5" s="4">
        <v>3387</v>
      </c>
      <c r="M5" s="4">
        <v>1897</v>
      </c>
      <c r="N5" s="4">
        <v>1316</v>
      </c>
      <c r="O5" s="4">
        <v>2110</v>
      </c>
      <c r="P5" s="11">
        <f t="shared" si="0"/>
        <v>25449</v>
      </c>
    </row>
    <row r="6" spans="1:16" ht="19.899999999999999" customHeight="1" x14ac:dyDescent="0.15">
      <c r="A6" s="200"/>
      <c r="B6" s="205"/>
      <c r="C6" s="37" t="s">
        <v>118</v>
      </c>
      <c r="D6" s="4">
        <v>53</v>
      </c>
      <c r="E6" s="22">
        <v>0</v>
      </c>
      <c r="F6" s="42">
        <v>0</v>
      </c>
      <c r="G6" s="42">
        <v>0</v>
      </c>
      <c r="H6" s="42">
        <v>0</v>
      </c>
      <c r="I6" s="42">
        <v>0</v>
      </c>
      <c r="J6" s="42">
        <v>0</v>
      </c>
      <c r="K6" s="42">
        <v>0</v>
      </c>
      <c r="L6" s="42">
        <v>0</v>
      </c>
      <c r="M6" s="4">
        <v>2</v>
      </c>
      <c r="N6" s="42">
        <v>0</v>
      </c>
      <c r="O6" s="42">
        <v>0</v>
      </c>
      <c r="P6" s="11">
        <f t="shared" si="0"/>
        <v>55</v>
      </c>
    </row>
    <row r="7" spans="1:16" ht="19.899999999999999" customHeight="1" x14ac:dyDescent="0.15">
      <c r="A7" s="200"/>
      <c r="B7" s="205"/>
      <c r="C7" s="37" t="s">
        <v>119</v>
      </c>
      <c r="D7" s="42">
        <v>0</v>
      </c>
      <c r="E7" s="22">
        <v>0</v>
      </c>
      <c r="F7" s="42">
        <v>15</v>
      </c>
      <c r="G7" s="42">
        <v>0</v>
      </c>
      <c r="H7" s="42">
        <v>0</v>
      </c>
      <c r="I7" s="42">
        <v>0</v>
      </c>
      <c r="J7" s="42">
        <v>0</v>
      </c>
      <c r="K7" s="42">
        <v>0</v>
      </c>
      <c r="L7" s="42">
        <v>0</v>
      </c>
      <c r="M7" s="42">
        <v>0</v>
      </c>
      <c r="N7" s="42">
        <v>0</v>
      </c>
      <c r="O7" s="42">
        <v>0</v>
      </c>
      <c r="P7" s="11">
        <f t="shared" si="0"/>
        <v>15</v>
      </c>
    </row>
    <row r="8" spans="1:16" ht="19.899999999999999" customHeight="1" x14ac:dyDescent="0.15">
      <c r="A8" s="200"/>
      <c r="B8" s="205"/>
      <c r="C8" s="37" t="s">
        <v>19</v>
      </c>
      <c r="D8" s="18">
        <v>354</v>
      </c>
      <c r="E8" s="22">
        <f>263+774</f>
        <v>1037</v>
      </c>
      <c r="F8" s="42">
        <f>698+110</f>
        <v>808</v>
      </c>
      <c r="G8" s="4">
        <f>110+44</f>
        <v>154</v>
      </c>
      <c r="H8" s="4">
        <f>6+343</f>
        <v>349</v>
      </c>
      <c r="I8" s="4">
        <f>73+162</f>
        <v>235</v>
      </c>
      <c r="J8" s="4">
        <f>207+262</f>
        <v>469</v>
      </c>
      <c r="K8" s="4">
        <f>191+333</f>
        <v>524</v>
      </c>
      <c r="L8" s="4">
        <v>100</v>
      </c>
      <c r="M8" s="4">
        <v>643</v>
      </c>
      <c r="N8" s="4">
        <v>267</v>
      </c>
      <c r="O8" s="4">
        <v>773</v>
      </c>
      <c r="P8" s="11">
        <f t="shared" si="0"/>
        <v>5713</v>
      </c>
    </row>
    <row r="9" spans="1:16" ht="19.899999999999999" customHeight="1" x14ac:dyDescent="0.15">
      <c r="A9" s="200"/>
      <c r="B9" s="205"/>
      <c r="C9" s="3" t="s">
        <v>22</v>
      </c>
      <c r="D9" s="5">
        <f t="shared" ref="D9" si="1">SUM(D3:D8)</f>
        <v>52062</v>
      </c>
      <c r="E9" s="5">
        <f t="shared" ref="E9:O9" si="2">SUM(E3:E8)</f>
        <v>42055</v>
      </c>
      <c r="F9" s="40">
        <f t="shared" si="2"/>
        <v>48445</v>
      </c>
      <c r="G9" s="5">
        <f t="shared" si="2"/>
        <v>49633</v>
      </c>
      <c r="H9" s="5">
        <f t="shared" si="2"/>
        <v>52607</v>
      </c>
      <c r="I9" s="5">
        <f t="shared" si="2"/>
        <v>49724</v>
      </c>
      <c r="J9" s="5">
        <f t="shared" si="2"/>
        <v>55524</v>
      </c>
      <c r="K9" s="5">
        <f t="shared" si="2"/>
        <v>43067</v>
      </c>
      <c r="L9" s="5">
        <f t="shared" si="2"/>
        <v>48477</v>
      </c>
      <c r="M9" s="5">
        <f t="shared" si="2"/>
        <v>51752</v>
      </c>
      <c r="N9" s="5">
        <f t="shared" si="2"/>
        <v>52294</v>
      </c>
      <c r="O9" s="5">
        <f t="shared" si="2"/>
        <v>47945</v>
      </c>
      <c r="P9" s="11">
        <f t="shared" si="0"/>
        <v>593585</v>
      </c>
    </row>
    <row r="10" spans="1:16" ht="19.899999999999999" customHeight="1" x14ac:dyDescent="0.15">
      <c r="A10" s="200"/>
      <c r="B10" s="211" t="s">
        <v>123</v>
      </c>
      <c r="C10" s="15" t="s">
        <v>120</v>
      </c>
      <c r="D10" s="18">
        <f>10+9</f>
        <v>19</v>
      </c>
      <c r="E10" s="22">
        <v>12</v>
      </c>
      <c r="F10" s="41">
        <f>13+14</f>
        <v>27</v>
      </c>
      <c r="G10" s="18">
        <f>2+29</f>
        <v>31</v>
      </c>
      <c r="H10" s="18">
        <v>2</v>
      </c>
      <c r="I10" s="18">
        <v>4</v>
      </c>
      <c r="J10" s="18">
        <v>8</v>
      </c>
      <c r="K10" s="18">
        <v>2</v>
      </c>
      <c r="L10" s="18">
        <v>6</v>
      </c>
      <c r="M10" s="18">
        <v>11</v>
      </c>
      <c r="N10" s="18">
        <v>7</v>
      </c>
      <c r="O10" s="41">
        <v>0</v>
      </c>
      <c r="P10" s="11">
        <f t="shared" si="0"/>
        <v>129</v>
      </c>
    </row>
    <row r="11" spans="1:16" ht="19.899999999999999" customHeight="1" x14ac:dyDescent="0.15">
      <c r="A11" s="200"/>
      <c r="B11" s="212"/>
      <c r="C11" s="15" t="s">
        <v>17</v>
      </c>
      <c r="D11" s="18">
        <v>84</v>
      </c>
      <c r="E11" s="22">
        <v>214</v>
      </c>
      <c r="F11" s="41">
        <v>18</v>
      </c>
      <c r="G11" s="18">
        <v>48</v>
      </c>
      <c r="H11" s="18">
        <f>15+25</f>
        <v>40</v>
      </c>
      <c r="I11" s="18">
        <v>27</v>
      </c>
      <c r="J11" s="18">
        <f>19+26</f>
        <v>45</v>
      </c>
      <c r="K11" s="18">
        <f>8+24</f>
        <v>32</v>
      </c>
      <c r="L11" s="18">
        <v>47</v>
      </c>
      <c r="M11" s="18">
        <v>71</v>
      </c>
      <c r="N11" s="18">
        <v>13</v>
      </c>
      <c r="O11" s="18">
        <v>15</v>
      </c>
      <c r="P11" s="11">
        <f t="shared" si="0"/>
        <v>654</v>
      </c>
    </row>
    <row r="12" spans="1:16" ht="19.899999999999999" customHeight="1" x14ac:dyDescent="0.15">
      <c r="A12" s="200"/>
      <c r="B12" s="212"/>
      <c r="C12" s="15" t="s">
        <v>132</v>
      </c>
      <c r="D12" s="18">
        <f>2+51</f>
        <v>53</v>
      </c>
      <c r="E12" s="22">
        <v>5</v>
      </c>
      <c r="F12" s="41">
        <v>42</v>
      </c>
      <c r="G12" s="18">
        <v>32</v>
      </c>
      <c r="H12" s="41">
        <v>0</v>
      </c>
      <c r="I12" s="18">
        <f>1+8</f>
        <v>9</v>
      </c>
      <c r="J12" s="41">
        <v>0</v>
      </c>
      <c r="K12" s="18">
        <v>1</v>
      </c>
      <c r="L12" s="41">
        <v>0</v>
      </c>
      <c r="M12" s="18">
        <v>6</v>
      </c>
      <c r="N12" s="41">
        <v>0</v>
      </c>
      <c r="O12" s="18">
        <v>6</v>
      </c>
      <c r="P12" s="11">
        <f t="shared" si="0"/>
        <v>154</v>
      </c>
    </row>
    <row r="13" spans="1:16" ht="19.899999999999999" customHeight="1" x14ac:dyDescent="0.15">
      <c r="A13" s="200"/>
      <c r="B13" s="212"/>
      <c r="C13" s="15" t="s">
        <v>138</v>
      </c>
      <c r="D13" s="18">
        <f>365+16</f>
        <v>381</v>
      </c>
      <c r="E13" s="22">
        <v>198</v>
      </c>
      <c r="F13" s="41">
        <f>14+238</f>
        <v>252</v>
      </c>
      <c r="G13" s="18">
        <f>360+23</f>
        <v>383</v>
      </c>
      <c r="H13" s="18">
        <v>210</v>
      </c>
      <c r="I13" s="18">
        <v>155</v>
      </c>
      <c r="J13" s="18">
        <f>2+321</f>
        <v>323</v>
      </c>
      <c r="K13" s="18">
        <f>269+4</f>
        <v>273</v>
      </c>
      <c r="L13" s="18">
        <v>143</v>
      </c>
      <c r="M13" s="18">
        <v>343</v>
      </c>
      <c r="N13" s="18">
        <v>364</v>
      </c>
      <c r="O13" s="18">
        <v>288</v>
      </c>
      <c r="P13" s="11">
        <f t="shared" si="0"/>
        <v>3313</v>
      </c>
    </row>
    <row r="14" spans="1:16" ht="19.899999999999999" customHeight="1" x14ac:dyDescent="0.15">
      <c r="A14" s="200"/>
      <c r="B14" s="212"/>
      <c r="C14" s="15" t="s">
        <v>137</v>
      </c>
      <c r="D14" s="18">
        <f>44+2</f>
        <v>46</v>
      </c>
      <c r="E14" s="22">
        <v>38</v>
      </c>
      <c r="F14" s="41">
        <v>5</v>
      </c>
      <c r="G14" s="18">
        <v>35</v>
      </c>
      <c r="H14" s="18">
        <v>26</v>
      </c>
      <c r="I14" s="18">
        <v>56</v>
      </c>
      <c r="J14" s="18">
        <f>7+26</f>
        <v>33</v>
      </c>
      <c r="K14" s="18">
        <v>23</v>
      </c>
      <c r="L14" s="18">
        <v>36</v>
      </c>
      <c r="M14" s="18">
        <v>59</v>
      </c>
      <c r="N14" s="18">
        <v>63</v>
      </c>
      <c r="O14" s="18">
        <v>29</v>
      </c>
      <c r="P14" s="11">
        <f t="shared" si="0"/>
        <v>449</v>
      </c>
    </row>
    <row r="15" spans="1:16" ht="19.899999999999999" customHeight="1" x14ac:dyDescent="0.15">
      <c r="A15" s="200"/>
      <c r="B15" s="212"/>
      <c r="C15" s="15" t="s">
        <v>150</v>
      </c>
      <c r="D15" s="18"/>
      <c r="E15" s="22"/>
      <c r="F15" s="41"/>
      <c r="G15" s="18"/>
      <c r="H15" s="18"/>
      <c r="I15" s="18"/>
      <c r="J15" s="18">
        <v>10</v>
      </c>
      <c r="K15" s="18">
        <v>20</v>
      </c>
      <c r="L15" s="18">
        <v>4</v>
      </c>
      <c r="M15" s="18">
        <v>16</v>
      </c>
      <c r="N15" s="18">
        <v>26</v>
      </c>
      <c r="O15" s="18">
        <v>4</v>
      </c>
      <c r="P15" s="11">
        <f t="shared" si="0"/>
        <v>80</v>
      </c>
    </row>
    <row r="16" spans="1:16" ht="19.899999999999999" customHeight="1" x14ac:dyDescent="0.15">
      <c r="A16" s="200"/>
      <c r="B16" s="213"/>
      <c r="C16" s="3" t="s">
        <v>22</v>
      </c>
      <c r="D16" s="5">
        <f t="shared" ref="D16:O16" si="3">SUM(D10:D15)</f>
        <v>583</v>
      </c>
      <c r="E16" s="5">
        <f t="shared" si="3"/>
        <v>467</v>
      </c>
      <c r="F16" s="40">
        <f t="shared" si="3"/>
        <v>344</v>
      </c>
      <c r="G16" s="40">
        <f t="shared" si="3"/>
        <v>529</v>
      </c>
      <c r="H16" s="5">
        <f t="shared" si="3"/>
        <v>278</v>
      </c>
      <c r="I16" s="5">
        <f t="shared" si="3"/>
        <v>251</v>
      </c>
      <c r="J16" s="5">
        <f t="shared" si="3"/>
        <v>419</v>
      </c>
      <c r="K16" s="5">
        <f t="shared" si="3"/>
        <v>351</v>
      </c>
      <c r="L16" s="5">
        <f t="shared" si="3"/>
        <v>236</v>
      </c>
      <c r="M16" s="5">
        <f t="shared" si="3"/>
        <v>506</v>
      </c>
      <c r="N16" s="5">
        <f t="shared" si="3"/>
        <v>473</v>
      </c>
      <c r="O16" s="5">
        <f t="shared" si="3"/>
        <v>342</v>
      </c>
      <c r="P16" s="11">
        <f t="shared" si="0"/>
        <v>4779</v>
      </c>
    </row>
    <row r="17" spans="1:16" ht="19.5" customHeight="1" x14ac:dyDescent="0.15">
      <c r="A17" s="200"/>
      <c r="B17" s="214" t="s">
        <v>20</v>
      </c>
      <c r="C17" s="215"/>
      <c r="D17" s="18">
        <f>1076+385</f>
        <v>1461</v>
      </c>
      <c r="E17" s="22">
        <f>1102+748</f>
        <v>1850</v>
      </c>
      <c r="F17" s="41">
        <f>566+1007</f>
        <v>1573</v>
      </c>
      <c r="G17" s="41">
        <f>1136+385</f>
        <v>1521</v>
      </c>
      <c r="H17" s="18">
        <f>331+1265</f>
        <v>1596</v>
      </c>
      <c r="I17" s="18">
        <f>10+912</f>
        <v>922</v>
      </c>
      <c r="J17" s="18">
        <f>270+1181</f>
        <v>1451</v>
      </c>
      <c r="K17" s="18">
        <f>1306+31</f>
        <v>1337</v>
      </c>
      <c r="L17" s="18">
        <v>1040</v>
      </c>
      <c r="M17" s="18">
        <v>1508</v>
      </c>
      <c r="N17" s="18">
        <v>2029</v>
      </c>
      <c r="O17" s="18">
        <v>1358</v>
      </c>
      <c r="P17" s="11">
        <f t="shared" si="0"/>
        <v>17646</v>
      </c>
    </row>
    <row r="18" spans="1:16" ht="19.899999999999999" customHeight="1" x14ac:dyDescent="0.15">
      <c r="A18" s="200"/>
      <c r="B18" s="205" t="s">
        <v>127</v>
      </c>
      <c r="C18" s="205"/>
      <c r="D18" s="18">
        <v>178</v>
      </c>
      <c r="E18" s="22">
        <v>49</v>
      </c>
      <c r="F18" s="42">
        <v>122</v>
      </c>
      <c r="G18" s="42">
        <v>78</v>
      </c>
      <c r="H18" s="4">
        <v>34</v>
      </c>
      <c r="I18" s="4">
        <v>113</v>
      </c>
      <c r="J18" s="4">
        <v>20</v>
      </c>
      <c r="K18" s="4">
        <f>84+1</f>
        <v>85</v>
      </c>
      <c r="L18" s="4">
        <v>51</v>
      </c>
      <c r="M18" s="4">
        <v>81</v>
      </c>
      <c r="N18" s="4">
        <v>45</v>
      </c>
      <c r="O18" s="4">
        <v>75</v>
      </c>
      <c r="P18" s="11">
        <f t="shared" si="0"/>
        <v>931</v>
      </c>
    </row>
    <row r="19" spans="1:16" ht="26.45" customHeight="1" x14ac:dyDescent="0.15">
      <c r="A19" s="200"/>
      <c r="B19" s="199" t="s">
        <v>39</v>
      </c>
      <c r="C19" s="199"/>
      <c r="D19" s="6">
        <f t="shared" ref="D19" si="4">D9+D18+D16+D17</f>
        <v>54284</v>
      </c>
      <c r="E19" s="6">
        <f t="shared" ref="E19:O19" si="5">E9+E18+E16+E17</f>
        <v>44421</v>
      </c>
      <c r="F19" s="43">
        <f t="shared" si="5"/>
        <v>50484</v>
      </c>
      <c r="G19" s="43">
        <f t="shared" si="5"/>
        <v>51761</v>
      </c>
      <c r="H19" s="6">
        <f t="shared" si="5"/>
        <v>54515</v>
      </c>
      <c r="I19" s="6">
        <f t="shared" si="5"/>
        <v>51010</v>
      </c>
      <c r="J19" s="6">
        <f t="shared" si="5"/>
        <v>57414</v>
      </c>
      <c r="K19" s="6">
        <f t="shared" si="5"/>
        <v>44840</v>
      </c>
      <c r="L19" s="6">
        <f t="shared" si="5"/>
        <v>49804</v>
      </c>
      <c r="M19" s="6">
        <f t="shared" si="5"/>
        <v>53847</v>
      </c>
      <c r="N19" s="6">
        <f>N9+N18+N16+N17</f>
        <v>54841</v>
      </c>
      <c r="O19" s="6">
        <f t="shared" si="5"/>
        <v>49720</v>
      </c>
      <c r="P19" s="13">
        <f t="shared" ref="P19:P29" si="6">SUM(D19:O19)</f>
        <v>616941</v>
      </c>
    </row>
    <row r="20" spans="1:16" ht="19.5" customHeight="1" x14ac:dyDescent="0.15">
      <c r="A20" s="200" t="s">
        <v>21</v>
      </c>
      <c r="B20" s="211" t="s">
        <v>125</v>
      </c>
      <c r="C20" s="37" t="s">
        <v>25</v>
      </c>
      <c r="D20" s="4">
        <f>363+1567</f>
        <v>1930</v>
      </c>
      <c r="E20" s="22">
        <v>1267</v>
      </c>
      <c r="F20" s="42">
        <f>1731+189</f>
        <v>1920</v>
      </c>
      <c r="G20" s="42">
        <f>274+1660</f>
        <v>1934</v>
      </c>
      <c r="H20" s="4">
        <f>2487+768</f>
        <v>3255</v>
      </c>
      <c r="I20" s="4">
        <v>1300</v>
      </c>
      <c r="J20" s="4">
        <f>5229+892</f>
        <v>6121</v>
      </c>
      <c r="K20" s="4">
        <v>5463</v>
      </c>
      <c r="L20" s="4">
        <v>4346</v>
      </c>
      <c r="M20" s="4">
        <v>3280</v>
      </c>
      <c r="N20" s="4">
        <v>4529</v>
      </c>
      <c r="O20" s="4">
        <v>4434</v>
      </c>
      <c r="P20" s="11">
        <f t="shared" si="6"/>
        <v>39779</v>
      </c>
    </row>
    <row r="21" spans="1:16" ht="20.100000000000001" customHeight="1" x14ac:dyDescent="0.15">
      <c r="A21" s="201"/>
      <c r="B21" s="212"/>
      <c r="C21" s="37" t="s">
        <v>26</v>
      </c>
      <c r="D21" s="4">
        <v>5958</v>
      </c>
      <c r="E21" s="22">
        <f>2815+48</f>
        <v>2863</v>
      </c>
      <c r="F21" s="42">
        <f>69+9030</f>
        <v>9099</v>
      </c>
      <c r="G21" s="42">
        <v>6474</v>
      </c>
      <c r="H21" s="4">
        <v>8020</v>
      </c>
      <c r="I21" s="4">
        <v>7189</v>
      </c>
      <c r="J21" s="4">
        <f>1+11153</f>
        <v>11154</v>
      </c>
      <c r="K21" s="4">
        <v>6737</v>
      </c>
      <c r="L21" s="4">
        <v>5568</v>
      </c>
      <c r="M21" s="4">
        <v>3778</v>
      </c>
      <c r="N21" s="4">
        <v>3715</v>
      </c>
      <c r="O21" s="4">
        <v>6385</v>
      </c>
      <c r="P21" s="11">
        <f t="shared" si="6"/>
        <v>76940</v>
      </c>
    </row>
    <row r="22" spans="1:16" ht="20.100000000000001" customHeight="1" x14ac:dyDescent="0.15">
      <c r="A22" s="201"/>
      <c r="B22" s="212"/>
      <c r="C22" s="37" t="s">
        <v>23</v>
      </c>
      <c r="D22" s="42">
        <v>0</v>
      </c>
      <c r="E22" s="22">
        <v>3</v>
      </c>
      <c r="F22" s="42">
        <v>0</v>
      </c>
      <c r="G22" s="42">
        <v>0</v>
      </c>
      <c r="H22" s="42">
        <v>0</v>
      </c>
      <c r="I22" s="42">
        <v>0</v>
      </c>
      <c r="J22" s="42">
        <v>0</v>
      </c>
      <c r="K22" s="4">
        <v>1769</v>
      </c>
      <c r="L22" s="4">
        <v>3698</v>
      </c>
      <c r="M22" s="4">
        <v>3011</v>
      </c>
      <c r="N22" s="4">
        <v>3702</v>
      </c>
      <c r="O22" s="4">
        <v>3451</v>
      </c>
      <c r="P22" s="11">
        <f t="shared" si="6"/>
        <v>15634</v>
      </c>
    </row>
    <row r="23" spans="1:16" ht="20.100000000000001" customHeight="1" x14ac:dyDescent="0.15">
      <c r="A23" s="201"/>
      <c r="B23" s="212"/>
      <c r="C23" s="37" t="s">
        <v>24</v>
      </c>
      <c r="D23" s="4">
        <f>8+862</f>
        <v>870</v>
      </c>
      <c r="E23" s="22">
        <v>167</v>
      </c>
      <c r="F23" s="42">
        <v>700</v>
      </c>
      <c r="G23" s="42">
        <v>1918</v>
      </c>
      <c r="H23" s="4">
        <v>1781</v>
      </c>
      <c r="I23" s="4">
        <v>922</v>
      </c>
      <c r="J23" s="4">
        <v>401</v>
      </c>
      <c r="K23" s="42">
        <v>0</v>
      </c>
      <c r="L23" s="42">
        <v>0</v>
      </c>
      <c r="M23" s="4">
        <v>2692</v>
      </c>
      <c r="N23" s="4">
        <v>1860</v>
      </c>
      <c r="O23" s="4">
        <v>867</v>
      </c>
      <c r="P23" s="11">
        <f t="shared" si="6"/>
        <v>12178</v>
      </c>
    </row>
    <row r="24" spans="1:16" ht="20.100000000000001" customHeight="1" x14ac:dyDescent="0.15">
      <c r="A24" s="201"/>
      <c r="B24" s="212"/>
      <c r="C24" s="37" t="s">
        <v>28</v>
      </c>
      <c r="D24" s="4">
        <v>1359</v>
      </c>
      <c r="E24" s="22">
        <v>790</v>
      </c>
      <c r="F24" s="42">
        <v>588</v>
      </c>
      <c r="G24" s="42">
        <v>329</v>
      </c>
      <c r="H24" s="4">
        <f>389+10</f>
        <v>399</v>
      </c>
      <c r="I24" s="4">
        <v>275</v>
      </c>
      <c r="J24" s="4">
        <f>275+2</f>
        <v>277</v>
      </c>
      <c r="K24" s="4">
        <f>4+705</f>
        <v>709</v>
      </c>
      <c r="L24" s="4">
        <v>527</v>
      </c>
      <c r="M24" s="4">
        <v>591</v>
      </c>
      <c r="N24" s="4">
        <v>649</v>
      </c>
      <c r="O24" s="4">
        <v>1544</v>
      </c>
      <c r="P24" s="11">
        <f t="shared" si="6"/>
        <v>8037</v>
      </c>
    </row>
    <row r="25" spans="1:16" ht="20.100000000000001" customHeight="1" x14ac:dyDescent="0.15">
      <c r="A25" s="201"/>
      <c r="B25" s="212"/>
      <c r="C25" s="37" t="s">
        <v>29</v>
      </c>
      <c r="D25" s="4">
        <v>369</v>
      </c>
      <c r="E25" s="22">
        <v>52</v>
      </c>
      <c r="F25" s="42">
        <v>93</v>
      </c>
      <c r="G25" s="42">
        <v>71</v>
      </c>
      <c r="H25" s="4">
        <v>59</v>
      </c>
      <c r="I25" s="4">
        <v>122</v>
      </c>
      <c r="J25" s="4">
        <v>64</v>
      </c>
      <c r="K25" s="4">
        <v>51</v>
      </c>
      <c r="L25" s="4">
        <v>32</v>
      </c>
      <c r="M25" s="4">
        <v>11</v>
      </c>
      <c r="N25" s="4">
        <v>6</v>
      </c>
      <c r="O25" s="4">
        <v>38</v>
      </c>
      <c r="P25" s="11">
        <f t="shared" si="6"/>
        <v>968</v>
      </c>
    </row>
    <row r="26" spans="1:16" ht="20.100000000000001" customHeight="1" x14ac:dyDescent="0.15">
      <c r="A26" s="201"/>
      <c r="B26" s="212"/>
      <c r="C26" s="37" t="s">
        <v>30</v>
      </c>
      <c r="D26" s="4">
        <v>1179</v>
      </c>
      <c r="E26" s="22">
        <v>575</v>
      </c>
      <c r="F26" s="42">
        <v>698</v>
      </c>
      <c r="G26" s="42">
        <v>250</v>
      </c>
      <c r="H26" s="4">
        <v>599</v>
      </c>
      <c r="I26" s="4">
        <v>865</v>
      </c>
      <c r="J26" s="4">
        <v>1137</v>
      </c>
      <c r="K26" s="4">
        <v>184</v>
      </c>
      <c r="L26" s="4">
        <v>173</v>
      </c>
      <c r="M26" s="4">
        <v>221</v>
      </c>
      <c r="N26" s="4">
        <v>168</v>
      </c>
      <c r="O26" s="4">
        <v>173</v>
      </c>
      <c r="P26" s="11">
        <f t="shared" si="6"/>
        <v>6222</v>
      </c>
    </row>
    <row r="27" spans="1:16" ht="20.100000000000001" customHeight="1" x14ac:dyDescent="0.15">
      <c r="A27" s="201"/>
      <c r="B27" s="212"/>
      <c r="C27" s="37" t="s">
        <v>34</v>
      </c>
      <c r="D27" s="4">
        <v>552</v>
      </c>
      <c r="E27" s="22">
        <v>509</v>
      </c>
      <c r="F27" s="42">
        <v>492</v>
      </c>
      <c r="G27" s="42">
        <v>406</v>
      </c>
      <c r="H27" s="4">
        <v>849</v>
      </c>
      <c r="I27" s="4">
        <v>1983</v>
      </c>
      <c r="J27" s="4">
        <v>89</v>
      </c>
      <c r="K27" s="4">
        <v>1154</v>
      </c>
      <c r="L27" s="4">
        <v>647</v>
      </c>
      <c r="M27" s="4">
        <v>15</v>
      </c>
      <c r="N27" s="4">
        <v>42</v>
      </c>
      <c r="O27" s="4">
        <v>6</v>
      </c>
      <c r="P27" s="11">
        <f t="shared" si="6"/>
        <v>6744</v>
      </c>
    </row>
    <row r="28" spans="1:16" ht="20.100000000000001" customHeight="1" x14ac:dyDescent="0.15">
      <c r="A28" s="201"/>
      <c r="B28" s="212"/>
      <c r="C28" s="37" t="s">
        <v>33</v>
      </c>
      <c r="D28" s="4">
        <v>408</v>
      </c>
      <c r="E28" s="22">
        <v>183</v>
      </c>
      <c r="F28" s="42">
        <v>33</v>
      </c>
      <c r="G28" s="42">
        <v>348</v>
      </c>
      <c r="H28" s="4">
        <v>160</v>
      </c>
      <c r="I28" s="4">
        <v>412</v>
      </c>
      <c r="J28" s="4">
        <v>276</v>
      </c>
      <c r="K28" s="4">
        <v>275</v>
      </c>
      <c r="L28" s="42">
        <v>0</v>
      </c>
      <c r="M28" s="4">
        <v>593</v>
      </c>
      <c r="N28" s="4">
        <v>529</v>
      </c>
      <c r="O28" s="4">
        <v>1169</v>
      </c>
      <c r="P28" s="11">
        <f t="shared" si="6"/>
        <v>4386</v>
      </c>
    </row>
    <row r="29" spans="1:16" ht="20.100000000000001" customHeight="1" x14ac:dyDescent="0.15">
      <c r="A29" s="201"/>
      <c r="B29" s="212"/>
      <c r="C29" s="37" t="s">
        <v>31</v>
      </c>
      <c r="D29" s="4">
        <v>938</v>
      </c>
      <c r="E29" s="22">
        <v>668</v>
      </c>
      <c r="F29" s="42">
        <v>1016</v>
      </c>
      <c r="G29" s="42">
        <v>964</v>
      </c>
      <c r="H29" s="4">
        <v>1129</v>
      </c>
      <c r="I29" s="4">
        <v>1316</v>
      </c>
      <c r="J29" s="4">
        <v>905</v>
      </c>
      <c r="K29" s="4">
        <v>712</v>
      </c>
      <c r="L29" s="4">
        <v>1033</v>
      </c>
      <c r="M29" s="4">
        <v>867</v>
      </c>
      <c r="N29" s="4">
        <v>1148</v>
      </c>
      <c r="O29" s="4">
        <v>1294</v>
      </c>
      <c r="P29" s="11">
        <f t="shared" si="6"/>
        <v>11990</v>
      </c>
    </row>
    <row r="30" spans="1:16" ht="20.100000000000001" customHeight="1" x14ac:dyDescent="0.15">
      <c r="A30" s="201"/>
      <c r="B30" s="212"/>
      <c r="C30" s="37" t="s">
        <v>110</v>
      </c>
      <c r="D30" s="4">
        <v>1538</v>
      </c>
      <c r="E30" s="22">
        <v>2067</v>
      </c>
      <c r="F30" s="42">
        <v>2103</v>
      </c>
      <c r="G30" s="42">
        <v>3194</v>
      </c>
      <c r="H30" s="4">
        <v>2427</v>
      </c>
      <c r="I30" s="4">
        <v>2818</v>
      </c>
      <c r="J30" s="4">
        <v>2086</v>
      </c>
      <c r="K30" s="4">
        <v>2127</v>
      </c>
      <c r="L30" s="4">
        <v>1449</v>
      </c>
      <c r="M30" s="4">
        <v>1148</v>
      </c>
      <c r="N30" s="4">
        <v>810</v>
      </c>
      <c r="O30" s="4">
        <v>983</v>
      </c>
      <c r="P30" s="11">
        <f t="shared" ref="P30:P47" si="7">SUM(D30:O30)</f>
        <v>22750</v>
      </c>
    </row>
    <row r="31" spans="1:16" ht="20.100000000000001" customHeight="1" x14ac:dyDescent="0.15">
      <c r="A31" s="201"/>
      <c r="B31" s="212"/>
      <c r="C31" s="37" t="s">
        <v>27</v>
      </c>
      <c r="D31" s="4">
        <v>166</v>
      </c>
      <c r="E31" s="22">
        <v>19</v>
      </c>
      <c r="F31" s="42">
        <v>522</v>
      </c>
      <c r="G31" s="42">
        <v>1679</v>
      </c>
      <c r="H31" s="4">
        <v>1069</v>
      </c>
      <c r="I31" s="4">
        <v>1501</v>
      </c>
      <c r="J31" s="4">
        <v>1106</v>
      </c>
      <c r="K31" s="4">
        <v>790</v>
      </c>
      <c r="L31" s="4">
        <v>1342</v>
      </c>
      <c r="M31" s="4">
        <v>663</v>
      </c>
      <c r="N31" s="4">
        <v>540</v>
      </c>
      <c r="O31" s="4">
        <v>888</v>
      </c>
      <c r="P31" s="11">
        <f t="shared" si="7"/>
        <v>10285</v>
      </c>
    </row>
    <row r="32" spans="1:16" ht="20.100000000000001" customHeight="1" x14ac:dyDescent="0.15">
      <c r="A32" s="201"/>
      <c r="B32" s="212"/>
      <c r="C32" s="37" t="s">
        <v>32</v>
      </c>
      <c r="D32" s="4">
        <v>491</v>
      </c>
      <c r="E32" s="22">
        <v>855</v>
      </c>
      <c r="F32" s="42">
        <v>498</v>
      </c>
      <c r="G32" s="42">
        <v>702</v>
      </c>
      <c r="H32" s="4">
        <v>575</v>
      </c>
      <c r="I32" s="4">
        <v>560</v>
      </c>
      <c r="J32" s="4">
        <v>444</v>
      </c>
      <c r="K32" s="4">
        <v>69</v>
      </c>
      <c r="L32" s="4">
        <v>55</v>
      </c>
      <c r="M32" s="4">
        <v>215</v>
      </c>
      <c r="N32" s="4">
        <v>263</v>
      </c>
      <c r="O32" s="4">
        <v>81</v>
      </c>
      <c r="P32" s="11">
        <f t="shared" si="7"/>
        <v>4808</v>
      </c>
    </row>
    <row r="33" spans="1:16" ht="20.100000000000001" customHeight="1" x14ac:dyDescent="0.15">
      <c r="A33" s="201"/>
      <c r="B33" s="212"/>
      <c r="C33" s="37" t="s">
        <v>50</v>
      </c>
      <c r="D33" s="4">
        <v>358</v>
      </c>
      <c r="E33" s="22">
        <v>0</v>
      </c>
      <c r="F33" s="42"/>
      <c r="G33" s="42">
        <v>379</v>
      </c>
      <c r="H33" s="4">
        <v>238</v>
      </c>
      <c r="I33" s="4">
        <v>422</v>
      </c>
      <c r="J33" s="42">
        <v>0</v>
      </c>
      <c r="K33" s="42">
        <v>0</v>
      </c>
      <c r="L33" s="42">
        <v>0</v>
      </c>
      <c r="M33" s="42">
        <v>0</v>
      </c>
      <c r="N33" s="42">
        <v>0</v>
      </c>
      <c r="O33" s="42">
        <v>0</v>
      </c>
      <c r="P33" s="11">
        <f t="shared" si="7"/>
        <v>1397</v>
      </c>
    </row>
    <row r="34" spans="1:16" ht="20.100000000000001" customHeight="1" x14ac:dyDescent="0.15">
      <c r="A34" s="201"/>
      <c r="B34" s="212"/>
      <c r="C34" s="37" t="s">
        <v>98</v>
      </c>
      <c r="D34" s="4">
        <v>1063</v>
      </c>
      <c r="E34" s="22">
        <v>1223</v>
      </c>
      <c r="F34" s="42">
        <v>1612</v>
      </c>
      <c r="G34" s="42">
        <v>1009</v>
      </c>
      <c r="H34" s="4">
        <v>1063</v>
      </c>
      <c r="I34" s="4">
        <v>692</v>
      </c>
      <c r="J34" s="4">
        <f>1180+231</f>
        <v>1411</v>
      </c>
      <c r="K34" s="4">
        <v>675</v>
      </c>
      <c r="L34" s="4">
        <v>902</v>
      </c>
      <c r="M34" s="4">
        <v>74</v>
      </c>
      <c r="N34" s="4">
        <v>3</v>
      </c>
      <c r="O34" s="4">
        <v>618</v>
      </c>
      <c r="P34" s="11">
        <f t="shared" si="7"/>
        <v>10345</v>
      </c>
    </row>
    <row r="35" spans="1:16" ht="20.100000000000001" customHeight="1" x14ac:dyDescent="0.15">
      <c r="A35" s="201"/>
      <c r="B35" s="212"/>
      <c r="C35" s="37" t="s">
        <v>131</v>
      </c>
      <c r="D35" s="42">
        <v>0</v>
      </c>
      <c r="E35" s="22">
        <v>0</v>
      </c>
      <c r="F35" s="42">
        <v>0</v>
      </c>
      <c r="G35" s="44">
        <v>0</v>
      </c>
      <c r="H35" s="44">
        <v>0</v>
      </c>
      <c r="I35" s="44">
        <v>0</v>
      </c>
      <c r="J35" s="44">
        <v>0</v>
      </c>
      <c r="K35" s="49">
        <v>0</v>
      </c>
      <c r="L35" s="42">
        <v>0</v>
      </c>
      <c r="M35" s="50">
        <v>0</v>
      </c>
      <c r="N35" s="42">
        <v>0</v>
      </c>
      <c r="O35" s="50">
        <v>0</v>
      </c>
      <c r="P35" s="11">
        <f t="shared" si="7"/>
        <v>0</v>
      </c>
    </row>
    <row r="36" spans="1:16" ht="20.100000000000001" customHeight="1" x14ac:dyDescent="0.15">
      <c r="A36" s="201"/>
      <c r="B36" s="212"/>
      <c r="C36" s="37" t="s">
        <v>19</v>
      </c>
      <c r="D36" s="4">
        <f>194+28</f>
        <v>222</v>
      </c>
      <c r="E36" s="22">
        <f>401+55</f>
        <v>456</v>
      </c>
      <c r="F36" s="42">
        <f>1241+22</f>
        <v>1263</v>
      </c>
      <c r="G36" s="42">
        <f>223+3032</f>
        <v>3255</v>
      </c>
      <c r="H36" s="4">
        <f>1797+170</f>
        <v>1967</v>
      </c>
      <c r="I36" s="4">
        <f>376+87</f>
        <v>463</v>
      </c>
      <c r="J36" s="4">
        <f>522+68</f>
        <v>590</v>
      </c>
      <c r="K36" s="4">
        <f>109+122</f>
        <v>231</v>
      </c>
      <c r="L36" s="4">
        <v>231</v>
      </c>
      <c r="M36" s="4">
        <v>2084</v>
      </c>
      <c r="N36" s="4">
        <v>1786</v>
      </c>
      <c r="O36" s="4">
        <v>1840</v>
      </c>
      <c r="P36" s="11">
        <f>SUM(D36:O36)</f>
        <v>14388</v>
      </c>
    </row>
    <row r="37" spans="1:16" ht="20.100000000000001" customHeight="1" x14ac:dyDescent="0.15">
      <c r="A37" s="201"/>
      <c r="B37" s="213"/>
      <c r="C37" s="19" t="s">
        <v>130</v>
      </c>
      <c r="D37" s="20">
        <f t="shared" ref="D37" si="8">SUM(D20:D36)</f>
        <v>17401</v>
      </c>
      <c r="E37" s="20">
        <f t="shared" ref="E37:O37" si="9">SUM(E20:E36)</f>
        <v>11697</v>
      </c>
      <c r="F37" s="45">
        <f t="shared" si="9"/>
        <v>20637</v>
      </c>
      <c r="G37" s="45">
        <f t="shared" si="9"/>
        <v>22912</v>
      </c>
      <c r="H37" s="20">
        <f t="shared" si="9"/>
        <v>23590</v>
      </c>
      <c r="I37" s="20">
        <f t="shared" si="9"/>
        <v>20840</v>
      </c>
      <c r="J37" s="20">
        <f t="shared" si="9"/>
        <v>26061</v>
      </c>
      <c r="K37" s="20">
        <f t="shared" si="9"/>
        <v>20946</v>
      </c>
      <c r="L37" s="20">
        <f t="shared" si="9"/>
        <v>20003</v>
      </c>
      <c r="M37" s="20">
        <f t="shared" si="9"/>
        <v>19243</v>
      </c>
      <c r="N37" s="20">
        <f t="shared" si="9"/>
        <v>19750</v>
      </c>
      <c r="O37" s="20">
        <f t="shared" si="9"/>
        <v>23771</v>
      </c>
      <c r="P37" s="11">
        <f t="shared" si="7"/>
        <v>246851</v>
      </c>
    </row>
    <row r="38" spans="1:16" ht="20.100000000000001" customHeight="1" x14ac:dyDescent="0.15">
      <c r="A38" s="201"/>
      <c r="B38" s="220" t="s">
        <v>124</v>
      </c>
      <c r="C38" s="37" t="s">
        <v>36</v>
      </c>
      <c r="D38" s="4">
        <v>39</v>
      </c>
      <c r="E38" s="22">
        <v>34</v>
      </c>
      <c r="F38" s="42"/>
      <c r="G38" s="42">
        <v>60</v>
      </c>
      <c r="H38" s="4">
        <v>146</v>
      </c>
      <c r="I38" s="4">
        <v>55</v>
      </c>
      <c r="J38" s="4">
        <v>85</v>
      </c>
      <c r="K38" s="4">
        <v>38</v>
      </c>
      <c r="L38" s="4">
        <v>3</v>
      </c>
      <c r="M38" s="42">
        <v>0</v>
      </c>
      <c r="N38" s="4">
        <v>62</v>
      </c>
      <c r="O38" s="4">
        <v>19</v>
      </c>
      <c r="P38" s="11">
        <f t="shared" si="7"/>
        <v>541</v>
      </c>
    </row>
    <row r="39" spans="1:16" ht="20.100000000000001" customHeight="1" x14ac:dyDescent="0.15">
      <c r="A39" s="201"/>
      <c r="B39" s="221"/>
      <c r="C39" s="37" t="s">
        <v>46</v>
      </c>
      <c r="D39" s="4">
        <v>31</v>
      </c>
      <c r="E39" s="22">
        <v>13</v>
      </c>
      <c r="F39" s="42">
        <v>39</v>
      </c>
      <c r="G39" s="42">
        <v>12</v>
      </c>
      <c r="H39" s="4">
        <v>28</v>
      </c>
      <c r="I39" s="4">
        <v>13</v>
      </c>
      <c r="J39" s="4">
        <v>15</v>
      </c>
      <c r="K39" s="4">
        <v>24</v>
      </c>
      <c r="L39" s="4">
        <v>86</v>
      </c>
      <c r="M39" s="4">
        <v>9</v>
      </c>
      <c r="N39" s="4">
        <v>74</v>
      </c>
      <c r="O39" s="4">
        <v>54</v>
      </c>
      <c r="P39" s="11">
        <f t="shared" si="7"/>
        <v>398</v>
      </c>
    </row>
    <row r="40" spans="1:16" ht="20.100000000000001" customHeight="1" x14ac:dyDescent="0.15">
      <c r="A40" s="201"/>
      <c r="B40" s="221"/>
      <c r="C40" s="37" t="s">
        <v>136</v>
      </c>
      <c r="D40" s="4">
        <v>237</v>
      </c>
      <c r="E40" s="22">
        <v>60</v>
      </c>
      <c r="F40" s="42">
        <v>160</v>
      </c>
      <c r="G40" s="42">
        <v>51</v>
      </c>
      <c r="H40" s="4">
        <v>168</v>
      </c>
      <c r="I40" s="4">
        <v>69</v>
      </c>
      <c r="J40" s="4">
        <v>54</v>
      </c>
      <c r="K40" s="4">
        <v>153</v>
      </c>
      <c r="L40" s="4">
        <v>112</v>
      </c>
      <c r="M40" s="4">
        <v>279</v>
      </c>
      <c r="N40" s="4">
        <v>247</v>
      </c>
      <c r="O40" s="4">
        <v>77</v>
      </c>
      <c r="P40" s="11">
        <f t="shared" si="7"/>
        <v>1667</v>
      </c>
    </row>
    <row r="41" spans="1:16" ht="20.100000000000001" customHeight="1" x14ac:dyDescent="0.15">
      <c r="A41" s="201"/>
      <c r="B41" s="221"/>
      <c r="C41" s="37" t="s">
        <v>19</v>
      </c>
      <c r="D41" s="4">
        <f>348+10</f>
        <v>358</v>
      </c>
      <c r="E41" s="22">
        <v>41</v>
      </c>
      <c r="F41" s="42">
        <v>185</v>
      </c>
      <c r="G41" s="42">
        <f>151+22</f>
        <v>173</v>
      </c>
      <c r="H41" s="4">
        <f>67+111</f>
        <v>178</v>
      </c>
      <c r="I41" s="4">
        <f>64+112</f>
        <v>176</v>
      </c>
      <c r="J41" s="4">
        <f>44+141</f>
        <v>185</v>
      </c>
      <c r="K41" s="4">
        <f>154+10</f>
        <v>164</v>
      </c>
      <c r="L41" s="4">
        <v>82</v>
      </c>
      <c r="M41" s="4">
        <v>121</v>
      </c>
      <c r="N41" s="4">
        <v>100</v>
      </c>
      <c r="O41" s="4">
        <v>114</v>
      </c>
      <c r="P41" s="11">
        <f t="shared" si="7"/>
        <v>1877</v>
      </c>
    </row>
    <row r="42" spans="1:16" ht="20.100000000000001" customHeight="1" x14ac:dyDescent="0.15">
      <c r="A42" s="201"/>
      <c r="B42" s="222"/>
      <c r="C42" s="19" t="s">
        <v>130</v>
      </c>
      <c r="D42" s="20">
        <f t="shared" ref="D42" si="10">SUM(D38:D41)</f>
        <v>665</v>
      </c>
      <c r="E42" s="20">
        <f t="shared" ref="E42:O42" si="11">SUM(E38:E41)</f>
        <v>148</v>
      </c>
      <c r="F42" s="45">
        <f t="shared" si="11"/>
        <v>384</v>
      </c>
      <c r="G42" s="45">
        <f t="shared" si="11"/>
        <v>296</v>
      </c>
      <c r="H42" s="20">
        <f t="shared" si="11"/>
        <v>520</v>
      </c>
      <c r="I42" s="20">
        <f t="shared" si="11"/>
        <v>313</v>
      </c>
      <c r="J42" s="20">
        <f t="shared" si="11"/>
        <v>339</v>
      </c>
      <c r="K42" s="20">
        <f t="shared" si="11"/>
        <v>379</v>
      </c>
      <c r="L42" s="20">
        <f t="shared" si="11"/>
        <v>283</v>
      </c>
      <c r="M42" s="20">
        <f t="shared" si="11"/>
        <v>409</v>
      </c>
      <c r="N42" s="20">
        <f t="shared" si="11"/>
        <v>483</v>
      </c>
      <c r="O42" s="20">
        <f t="shared" si="11"/>
        <v>264</v>
      </c>
      <c r="P42" s="11">
        <f t="shared" si="7"/>
        <v>4483</v>
      </c>
    </row>
    <row r="43" spans="1:16" ht="20.100000000000001" customHeight="1" x14ac:dyDescent="0.15">
      <c r="A43" s="201"/>
      <c r="B43" s="216" t="s">
        <v>127</v>
      </c>
      <c r="C43" s="217"/>
      <c r="D43" s="4">
        <v>169</v>
      </c>
      <c r="E43" s="22">
        <v>77</v>
      </c>
      <c r="F43" s="42">
        <v>214</v>
      </c>
      <c r="G43" s="42">
        <v>174</v>
      </c>
      <c r="H43" s="4">
        <v>178</v>
      </c>
      <c r="I43" s="4">
        <v>193</v>
      </c>
      <c r="J43" s="4">
        <v>197</v>
      </c>
      <c r="K43" s="4">
        <f>87+33</f>
        <v>120</v>
      </c>
      <c r="L43" s="4">
        <v>166</v>
      </c>
      <c r="M43" s="4">
        <v>170</v>
      </c>
      <c r="N43" s="4">
        <v>154</v>
      </c>
      <c r="O43" s="4">
        <v>167</v>
      </c>
      <c r="P43" s="11">
        <f t="shared" si="7"/>
        <v>1979</v>
      </c>
    </row>
    <row r="44" spans="1:16" ht="24.75" customHeight="1" x14ac:dyDescent="0.15">
      <c r="A44" s="201"/>
      <c r="B44" s="199" t="s">
        <v>40</v>
      </c>
      <c r="C44" s="199"/>
      <c r="D44" s="6">
        <f t="shared" ref="D44" si="12">D37+D42+D43</f>
        <v>18235</v>
      </c>
      <c r="E44" s="6">
        <f t="shared" ref="E44:O44" si="13">E37+E42+E43</f>
        <v>11922</v>
      </c>
      <c r="F44" s="43">
        <f t="shared" si="13"/>
        <v>21235</v>
      </c>
      <c r="G44" s="43">
        <f t="shared" si="13"/>
        <v>23382</v>
      </c>
      <c r="H44" s="6">
        <f t="shared" si="13"/>
        <v>24288</v>
      </c>
      <c r="I44" s="6">
        <f t="shared" si="13"/>
        <v>21346</v>
      </c>
      <c r="J44" s="6">
        <f t="shared" si="13"/>
        <v>26597</v>
      </c>
      <c r="K44" s="6">
        <f t="shared" si="13"/>
        <v>21445</v>
      </c>
      <c r="L44" s="6">
        <f t="shared" si="13"/>
        <v>20452</v>
      </c>
      <c r="M44" s="6">
        <f t="shared" si="13"/>
        <v>19822</v>
      </c>
      <c r="N44" s="6">
        <f>N37+N42+N43</f>
        <v>20387</v>
      </c>
      <c r="O44" s="6">
        <f t="shared" si="13"/>
        <v>24202</v>
      </c>
      <c r="P44" s="13">
        <f t="shared" si="7"/>
        <v>253313</v>
      </c>
    </row>
    <row r="45" spans="1:16" s="2" customFormat="1" ht="26.45" customHeight="1" x14ac:dyDescent="0.15">
      <c r="A45" s="202" t="s">
        <v>41</v>
      </c>
      <c r="B45" s="203"/>
      <c r="C45" s="203"/>
      <c r="D45" s="7">
        <f t="shared" ref="D45" si="14">SUM(D19,D44)</f>
        <v>72519</v>
      </c>
      <c r="E45" s="7">
        <f t="shared" ref="E45:O45" si="15">SUM(E19,E44)</f>
        <v>56343</v>
      </c>
      <c r="F45" s="46">
        <f t="shared" si="15"/>
        <v>71719</v>
      </c>
      <c r="G45" s="46">
        <f t="shared" si="15"/>
        <v>75143</v>
      </c>
      <c r="H45" s="7">
        <f t="shared" si="15"/>
        <v>78803</v>
      </c>
      <c r="I45" s="7">
        <f t="shared" si="15"/>
        <v>72356</v>
      </c>
      <c r="J45" s="7">
        <f t="shared" si="15"/>
        <v>84011</v>
      </c>
      <c r="K45" s="7">
        <f t="shared" si="15"/>
        <v>66285</v>
      </c>
      <c r="L45" s="7">
        <f t="shared" si="15"/>
        <v>70256</v>
      </c>
      <c r="M45" s="7">
        <f t="shared" si="15"/>
        <v>73669</v>
      </c>
      <c r="N45" s="7">
        <f t="shared" si="15"/>
        <v>75228</v>
      </c>
      <c r="O45" s="7">
        <f t="shared" si="15"/>
        <v>73922</v>
      </c>
      <c r="P45" s="12">
        <f t="shared" si="7"/>
        <v>870254</v>
      </c>
    </row>
    <row r="46" spans="1:16" ht="19.5" customHeight="1" x14ac:dyDescent="0.15">
      <c r="A46" s="204" t="s">
        <v>43</v>
      </c>
      <c r="B46" s="205"/>
      <c r="C46" s="205"/>
      <c r="D46" s="4">
        <f>23485+22789</f>
        <v>46274</v>
      </c>
      <c r="E46" s="22">
        <f>20892+10947</f>
        <v>31839</v>
      </c>
      <c r="F46" s="42">
        <f>25669+28827</f>
        <v>54496</v>
      </c>
      <c r="G46" s="42">
        <f>27876+26341</f>
        <v>54217</v>
      </c>
      <c r="H46" s="4">
        <f>21620+32309</f>
        <v>53929</v>
      </c>
      <c r="I46" s="4">
        <f>26823+35615</f>
        <v>62438</v>
      </c>
      <c r="J46" s="4">
        <f>27818+32014</f>
        <v>59832</v>
      </c>
      <c r="K46" s="4">
        <f>30273+35585</f>
        <v>65858</v>
      </c>
      <c r="L46" s="4">
        <v>44174</v>
      </c>
      <c r="M46" s="4">
        <v>58709</v>
      </c>
      <c r="N46" s="4">
        <v>50047</v>
      </c>
      <c r="O46" s="4">
        <v>46314</v>
      </c>
      <c r="P46" s="11">
        <f t="shared" si="7"/>
        <v>628127</v>
      </c>
    </row>
    <row r="47" spans="1:16" ht="20.100000000000001" customHeight="1" x14ac:dyDescent="0.15">
      <c r="A47" s="218" t="s">
        <v>129</v>
      </c>
      <c r="B47" s="219"/>
      <c r="C47" s="217"/>
      <c r="D47" s="16">
        <f>3695+707</f>
        <v>4402</v>
      </c>
      <c r="E47" s="22">
        <f>1389+223</f>
        <v>1612</v>
      </c>
      <c r="F47" s="47">
        <f>142+1106</f>
        <v>1248</v>
      </c>
      <c r="G47" s="47">
        <f>1509+131</f>
        <v>1640</v>
      </c>
      <c r="H47" s="16">
        <f>147+1652</f>
        <v>1799</v>
      </c>
      <c r="I47" s="16">
        <f>1616+1977</f>
        <v>3593</v>
      </c>
      <c r="J47" s="16">
        <f>800+2556</f>
        <v>3356</v>
      </c>
      <c r="K47" s="16">
        <f>314+596</f>
        <v>910</v>
      </c>
      <c r="L47" s="16">
        <v>1275</v>
      </c>
      <c r="M47" s="16">
        <v>1816</v>
      </c>
      <c r="N47" s="16">
        <v>791</v>
      </c>
      <c r="O47" s="16">
        <v>2308</v>
      </c>
      <c r="P47" s="17">
        <f t="shared" si="7"/>
        <v>24750</v>
      </c>
    </row>
    <row r="48" spans="1:16" s="2" customFormat="1" ht="27.75" customHeight="1" thickBot="1" x14ac:dyDescent="0.2">
      <c r="A48" s="197" t="s">
        <v>42</v>
      </c>
      <c r="B48" s="198"/>
      <c r="C48" s="198"/>
      <c r="D48" s="21">
        <f t="shared" ref="D48" si="16">D45+D46+D47</f>
        <v>123195</v>
      </c>
      <c r="E48" s="21">
        <f t="shared" ref="E48:O48" si="17">E45+E46+E47</f>
        <v>89794</v>
      </c>
      <c r="F48" s="48">
        <f t="shared" si="17"/>
        <v>127463</v>
      </c>
      <c r="G48" s="48">
        <f t="shared" si="17"/>
        <v>131000</v>
      </c>
      <c r="H48" s="21">
        <f t="shared" si="17"/>
        <v>134531</v>
      </c>
      <c r="I48" s="21">
        <f t="shared" si="17"/>
        <v>138387</v>
      </c>
      <c r="J48" s="21">
        <f t="shared" si="17"/>
        <v>147199</v>
      </c>
      <c r="K48" s="21">
        <f t="shared" si="17"/>
        <v>133053</v>
      </c>
      <c r="L48" s="21">
        <f t="shared" si="17"/>
        <v>115705</v>
      </c>
      <c r="M48" s="21">
        <f t="shared" si="17"/>
        <v>134194</v>
      </c>
      <c r="N48" s="21">
        <f t="shared" si="17"/>
        <v>126066</v>
      </c>
      <c r="O48" s="21">
        <f t="shared" si="17"/>
        <v>122544</v>
      </c>
      <c r="P48" s="14">
        <f>SUM(D48:O48)</f>
        <v>1523131</v>
      </c>
    </row>
    <row r="49" ht="20.100000000000001" customHeight="1" x14ac:dyDescent="0.15"/>
  </sheetData>
  <mergeCells count="17">
    <mergeCell ref="A1:P1"/>
    <mergeCell ref="A2:C2"/>
    <mergeCell ref="A3:A19"/>
    <mergeCell ref="B3:B9"/>
    <mergeCell ref="B10:B16"/>
    <mergeCell ref="B17:C17"/>
    <mergeCell ref="B18:C18"/>
    <mergeCell ref="B19:C19"/>
    <mergeCell ref="A46:C46"/>
    <mergeCell ref="A47:C47"/>
    <mergeCell ref="A48:C48"/>
    <mergeCell ref="A20:A44"/>
    <mergeCell ref="B20:B37"/>
    <mergeCell ref="B38:B42"/>
    <mergeCell ref="B43:C43"/>
    <mergeCell ref="B44:C44"/>
    <mergeCell ref="A45:C45"/>
  </mergeCells>
  <phoneticPr fontId="14" type="noConversion"/>
  <pageMargins left="1.3385826771653544" right="0.51181102362204722" top="0.70866141732283472" bottom="0.35433070866141736" header="0.11811023622047245" footer="0.11811023622047245"/>
  <pageSetup paperSize="9" scale="53" fitToWidth="2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P49"/>
  <sheetViews>
    <sheetView zoomScale="90" zoomScaleNormal="90" workbookViewId="0">
      <pane xSplit="3" ySplit="2" topLeftCell="D24" activePane="bottomRight" state="frozen"/>
      <selection pane="topRight" activeCell="D1" sqref="D1"/>
      <selection pane="bottomLeft" activeCell="A3" sqref="A3"/>
      <selection pane="bottomRight" sqref="A1:P1"/>
    </sheetView>
  </sheetViews>
  <sheetFormatPr defaultRowHeight="13.5" x14ac:dyDescent="0.15"/>
  <cols>
    <col min="1" max="1" width="5.21875" customWidth="1"/>
    <col min="2" max="2" width="5.44140625" customWidth="1"/>
    <col min="3" max="3" width="11.44140625" customWidth="1"/>
    <col min="4" max="15" width="13.5546875" customWidth="1"/>
    <col min="16" max="16" width="14.6640625" style="2" customWidth="1"/>
  </cols>
  <sheetData>
    <row r="1" spans="1:16" ht="51" customHeight="1" thickBot="1" x14ac:dyDescent="0.2">
      <c r="A1" s="207" t="s">
        <v>151</v>
      </c>
      <c r="B1" s="208"/>
      <c r="C1" s="208"/>
      <c r="D1" s="208"/>
      <c r="E1" s="208"/>
      <c r="F1" s="208"/>
      <c r="G1" s="208"/>
      <c r="H1" s="208"/>
      <c r="I1" s="208"/>
      <c r="J1" s="208"/>
      <c r="K1" s="208"/>
      <c r="L1" s="208"/>
      <c r="M1" s="208"/>
      <c r="N1" s="208"/>
      <c r="O1" s="208"/>
      <c r="P1" s="208"/>
    </row>
    <row r="2" spans="1:16" ht="25.5" customHeight="1" x14ac:dyDescent="0.15">
      <c r="A2" s="209" t="s">
        <v>13</v>
      </c>
      <c r="B2" s="210"/>
      <c r="C2" s="210"/>
      <c r="D2" s="52" t="s">
        <v>0</v>
      </c>
      <c r="E2" s="52" t="s">
        <v>1</v>
      </c>
      <c r="F2" s="52" t="s">
        <v>2</v>
      </c>
      <c r="G2" s="52" t="s">
        <v>3</v>
      </c>
      <c r="H2" s="52" t="s">
        <v>4</v>
      </c>
      <c r="I2" s="52" t="s">
        <v>5</v>
      </c>
      <c r="J2" s="52" t="s">
        <v>6</v>
      </c>
      <c r="K2" s="52" t="s">
        <v>7</v>
      </c>
      <c r="L2" s="52" t="s">
        <v>8</v>
      </c>
      <c r="M2" s="52" t="s">
        <v>9</v>
      </c>
      <c r="N2" s="52" t="s">
        <v>10</v>
      </c>
      <c r="O2" s="52" t="s">
        <v>11</v>
      </c>
      <c r="P2" s="9" t="s">
        <v>44</v>
      </c>
    </row>
    <row r="3" spans="1:16" ht="19.899999999999999" customHeight="1" x14ac:dyDescent="0.15">
      <c r="A3" s="200" t="s">
        <v>14</v>
      </c>
      <c r="B3" s="206" t="s">
        <v>122</v>
      </c>
      <c r="C3" s="51" t="s">
        <v>16</v>
      </c>
      <c r="D3" s="18">
        <v>30196</v>
      </c>
      <c r="E3" s="22">
        <v>23307</v>
      </c>
      <c r="F3" s="22">
        <v>44432</v>
      </c>
      <c r="G3" s="4">
        <v>27747</v>
      </c>
      <c r="H3" s="4">
        <v>19135</v>
      </c>
      <c r="I3" s="4">
        <v>31139</v>
      </c>
      <c r="J3" s="4">
        <v>40294</v>
      </c>
      <c r="K3" s="4">
        <v>23205</v>
      </c>
      <c r="L3" s="4">
        <v>39805</v>
      </c>
      <c r="M3" s="4">
        <v>42813</v>
      </c>
      <c r="N3" s="4">
        <v>45122</v>
      </c>
      <c r="O3" s="4">
        <v>33637</v>
      </c>
      <c r="P3" s="11">
        <f t="shared" ref="P3:P18" si="0">SUM(D3:O3)</f>
        <v>400832</v>
      </c>
    </row>
    <row r="4" spans="1:16" ht="19.899999999999999" customHeight="1" x14ac:dyDescent="0.15">
      <c r="A4" s="200"/>
      <c r="B4" s="205"/>
      <c r="C4" s="51" t="s">
        <v>17</v>
      </c>
      <c r="D4" s="18">
        <v>1411</v>
      </c>
      <c r="E4" s="22">
        <v>1212</v>
      </c>
      <c r="F4" s="22">
        <v>1584</v>
      </c>
      <c r="G4" s="4">
        <v>1757</v>
      </c>
      <c r="H4" s="4">
        <v>1202</v>
      </c>
      <c r="I4" s="4">
        <v>1480</v>
      </c>
      <c r="J4" s="4">
        <v>1289</v>
      </c>
      <c r="K4" s="4">
        <v>1736</v>
      </c>
      <c r="L4" s="4">
        <v>1789</v>
      </c>
      <c r="M4" s="4">
        <v>2737</v>
      </c>
      <c r="N4" s="4">
        <v>2497</v>
      </c>
      <c r="O4" s="4">
        <v>2516</v>
      </c>
      <c r="P4" s="11">
        <f t="shared" si="0"/>
        <v>21210</v>
      </c>
    </row>
    <row r="5" spans="1:16" ht="19.899999999999999" customHeight="1" x14ac:dyDescent="0.15">
      <c r="A5" s="200"/>
      <c r="B5" s="205"/>
      <c r="C5" s="51" t="s">
        <v>18</v>
      </c>
      <c r="D5" s="18">
        <v>1897</v>
      </c>
      <c r="E5" s="22">
        <v>2004</v>
      </c>
      <c r="F5" s="22">
        <v>2249</v>
      </c>
      <c r="G5" s="4">
        <v>902</v>
      </c>
      <c r="H5" s="4">
        <v>625</v>
      </c>
      <c r="I5" s="4">
        <v>378</v>
      </c>
      <c r="J5" s="4">
        <v>663</v>
      </c>
      <c r="K5" s="4">
        <v>1121</v>
      </c>
      <c r="L5" s="4">
        <v>1550</v>
      </c>
      <c r="M5" s="4">
        <v>1795</v>
      </c>
      <c r="N5" s="4">
        <v>2607</v>
      </c>
      <c r="O5" s="4">
        <v>2216</v>
      </c>
      <c r="P5" s="11">
        <f t="shared" si="0"/>
        <v>18007</v>
      </c>
    </row>
    <row r="6" spans="1:16" ht="19.899999999999999" customHeight="1" x14ac:dyDescent="0.15">
      <c r="A6" s="200"/>
      <c r="B6" s="205"/>
      <c r="C6" s="51" t="s">
        <v>118</v>
      </c>
      <c r="D6" s="42">
        <v>0</v>
      </c>
      <c r="E6" s="22">
        <v>0</v>
      </c>
      <c r="F6" s="22">
        <v>0</v>
      </c>
      <c r="G6" s="42">
        <v>0</v>
      </c>
      <c r="H6" s="42">
        <v>33</v>
      </c>
      <c r="I6" s="42">
        <v>0</v>
      </c>
      <c r="J6" s="42">
        <v>0</v>
      </c>
      <c r="K6" s="42">
        <v>0</v>
      </c>
      <c r="L6" s="42">
        <v>0</v>
      </c>
      <c r="M6" s="42">
        <v>0</v>
      </c>
      <c r="N6" s="42">
        <v>0</v>
      </c>
      <c r="O6" s="42">
        <v>0</v>
      </c>
      <c r="P6" s="11">
        <f t="shared" si="0"/>
        <v>33</v>
      </c>
    </row>
    <row r="7" spans="1:16" ht="19.899999999999999" customHeight="1" x14ac:dyDescent="0.15">
      <c r="A7" s="200"/>
      <c r="B7" s="205"/>
      <c r="C7" s="51" t="s">
        <v>119</v>
      </c>
      <c r="D7" s="42">
        <v>0</v>
      </c>
      <c r="E7" s="22">
        <v>0</v>
      </c>
      <c r="F7" s="22">
        <v>0</v>
      </c>
      <c r="G7" s="42">
        <v>0</v>
      </c>
      <c r="H7" s="42">
        <v>0</v>
      </c>
      <c r="I7" s="42">
        <v>0</v>
      </c>
      <c r="J7" s="42">
        <v>0</v>
      </c>
      <c r="K7" s="42">
        <v>0</v>
      </c>
      <c r="L7" s="42">
        <v>0</v>
      </c>
      <c r="M7" s="42">
        <v>0</v>
      </c>
      <c r="N7" s="42">
        <v>0</v>
      </c>
      <c r="O7" s="42">
        <v>0</v>
      </c>
      <c r="P7" s="11">
        <f t="shared" si="0"/>
        <v>0</v>
      </c>
    </row>
    <row r="8" spans="1:16" ht="19.899999999999999" customHeight="1" x14ac:dyDescent="0.15">
      <c r="A8" s="200"/>
      <c r="B8" s="205"/>
      <c r="C8" s="51" t="s">
        <v>19</v>
      </c>
      <c r="D8" s="18">
        <v>699</v>
      </c>
      <c r="E8" s="22">
        <v>246</v>
      </c>
      <c r="F8" s="22">
        <v>108</v>
      </c>
      <c r="G8" s="4">
        <v>146</v>
      </c>
      <c r="H8" s="4">
        <v>222</v>
      </c>
      <c r="I8" s="4">
        <v>633</v>
      </c>
      <c r="J8" s="4">
        <v>144</v>
      </c>
      <c r="K8" s="4">
        <v>19</v>
      </c>
      <c r="L8" s="4">
        <v>36</v>
      </c>
      <c r="M8" s="4">
        <v>142</v>
      </c>
      <c r="N8" s="4">
        <v>1</v>
      </c>
      <c r="O8" s="4">
        <v>223</v>
      </c>
      <c r="P8" s="11">
        <f t="shared" si="0"/>
        <v>2619</v>
      </c>
    </row>
    <row r="9" spans="1:16" ht="19.899999999999999" customHeight="1" x14ac:dyDescent="0.15">
      <c r="A9" s="200"/>
      <c r="B9" s="205"/>
      <c r="C9" s="3" t="s">
        <v>22</v>
      </c>
      <c r="D9" s="5">
        <f t="shared" ref="D9:O9" si="1">SUM(D3:D8)</f>
        <v>34203</v>
      </c>
      <c r="E9" s="5">
        <f t="shared" si="1"/>
        <v>26769</v>
      </c>
      <c r="F9" s="5">
        <f t="shared" ref="F9" si="2">SUM(F3:F8)</f>
        <v>48373</v>
      </c>
      <c r="G9" s="5">
        <f t="shared" si="1"/>
        <v>30552</v>
      </c>
      <c r="H9" s="5">
        <f t="shared" si="1"/>
        <v>21217</v>
      </c>
      <c r="I9" s="5">
        <f t="shared" si="1"/>
        <v>33630</v>
      </c>
      <c r="J9" s="5">
        <f t="shared" si="1"/>
        <v>42390</v>
      </c>
      <c r="K9" s="5">
        <f t="shared" si="1"/>
        <v>26081</v>
      </c>
      <c r="L9" s="5">
        <f t="shared" si="1"/>
        <v>43180</v>
      </c>
      <c r="M9" s="5">
        <f t="shared" si="1"/>
        <v>47487</v>
      </c>
      <c r="N9" s="5">
        <f t="shared" si="1"/>
        <v>50227</v>
      </c>
      <c r="O9" s="5">
        <f t="shared" si="1"/>
        <v>38592</v>
      </c>
      <c r="P9" s="11">
        <f t="shared" si="0"/>
        <v>442701</v>
      </c>
    </row>
    <row r="10" spans="1:16" ht="19.899999999999999" customHeight="1" x14ac:dyDescent="0.15">
      <c r="A10" s="200"/>
      <c r="B10" s="211" t="s">
        <v>123</v>
      </c>
      <c r="C10" s="15" t="s">
        <v>120</v>
      </c>
      <c r="D10" s="18">
        <v>19</v>
      </c>
      <c r="E10" s="22">
        <v>6</v>
      </c>
      <c r="F10" s="22">
        <v>18</v>
      </c>
      <c r="G10" s="18">
        <v>14</v>
      </c>
      <c r="H10" s="41">
        <v>0</v>
      </c>
      <c r="I10" s="18">
        <v>2</v>
      </c>
      <c r="J10" s="18">
        <v>1</v>
      </c>
      <c r="K10" s="18">
        <v>1</v>
      </c>
      <c r="L10" s="18">
        <v>6</v>
      </c>
      <c r="M10" s="18">
        <v>9</v>
      </c>
      <c r="N10" s="18">
        <v>8</v>
      </c>
      <c r="O10" s="41">
        <v>15</v>
      </c>
      <c r="P10" s="11">
        <f t="shared" si="0"/>
        <v>99</v>
      </c>
    </row>
    <row r="11" spans="1:16" ht="19.899999999999999" customHeight="1" x14ac:dyDescent="0.15">
      <c r="A11" s="200"/>
      <c r="B11" s="212"/>
      <c r="C11" s="15" t="s">
        <v>17</v>
      </c>
      <c r="D11" s="18">
        <v>10</v>
      </c>
      <c r="E11" s="22">
        <v>20</v>
      </c>
      <c r="F11" s="22">
        <v>2</v>
      </c>
      <c r="G11" s="18">
        <v>47</v>
      </c>
      <c r="H11" s="18">
        <v>2</v>
      </c>
      <c r="I11" s="18">
        <v>16</v>
      </c>
      <c r="J11" s="18">
        <v>119</v>
      </c>
      <c r="K11" s="18">
        <v>62</v>
      </c>
      <c r="L11" s="18">
        <v>10</v>
      </c>
      <c r="M11" s="18">
        <v>31</v>
      </c>
      <c r="N11" s="18">
        <v>27</v>
      </c>
      <c r="O11" s="18">
        <v>19</v>
      </c>
      <c r="P11" s="11">
        <f t="shared" si="0"/>
        <v>365</v>
      </c>
    </row>
    <row r="12" spans="1:16" ht="19.899999999999999" customHeight="1" x14ac:dyDescent="0.15">
      <c r="A12" s="200"/>
      <c r="B12" s="212"/>
      <c r="C12" s="15" t="s">
        <v>132</v>
      </c>
      <c r="D12" s="18">
        <v>12</v>
      </c>
      <c r="E12" s="22">
        <v>0</v>
      </c>
      <c r="F12" s="22">
        <v>0</v>
      </c>
      <c r="G12" s="41">
        <v>0</v>
      </c>
      <c r="H12" s="41">
        <v>2</v>
      </c>
      <c r="I12" s="18">
        <v>7</v>
      </c>
      <c r="J12" s="41">
        <v>0</v>
      </c>
      <c r="K12" s="41">
        <v>0</v>
      </c>
      <c r="L12" s="41">
        <v>2</v>
      </c>
      <c r="M12" s="41">
        <v>0</v>
      </c>
      <c r="N12" s="41">
        <v>0</v>
      </c>
      <c r="O12" s="18">
        <v>16</v>
      </c>
      <c r="P12" s="11">
        <f t="shared" si="0"/>
        <v>39</v>
      </c>
    </row>
    <row r="13" spans="1:16" ht="19.899999999999999" customHeight="1" x14ac:dyDescent="0.15">
      <c r="A13" s="200"/>
      <c r="B13" s="212"/>
      <c r="C13" s="15" t="s">
        <v>138</v>
      </c>
      <c r="D13" s="18">
        <v>252</v>
      </c>
      <c r="E13" s="22">
        <v>343</v>
      </c>
      <c r="F13" s="22">
        <v>328</v>
      </c>
      <c r="G13" s="18">
        <v>140</v>
      </c>
      <c r="H13" s="18">
        <v>56</v>
      </c>
      <c r="I13" s="18">
        <v>232</v>
      </c>
      <c r="J13" s="18">
        <v>152</v>
      </c>
      <c r="K13" s="18">
        <v>298</v>
      </c>
      <c r="L13" s="18">
        <v>383</v>
      </c>
      <c r="M13" s="18">
        <v>268</v>
      </c>
      <c r="N13" s="18">
        <v>146</v>
      </c>
      <c r="O13" s="18">
        <v>392</v>
      </c>
      <c r="P13" s="11">
        <f t="shared" si="0"/>
        <v>2990</v>
      </c>
    </row>
    <row r="14" spans="1:16" ht="19.899999999999999" customHeight="1" x14ac:dyDescent="0.15">
      <c r="A14" s="200"/>
      <c r="B14" s="212"/>
      <c r="C14" s="15" t="s">
        <v>137</v>
      </c>
      <c r="D14" s="18">
        <v>108</v>
      </c>
      <c r="E14" s="22">
        <v>52</v>
      </c>
      <c r="F14" s="22">
        <v>85</v>
      </c>
      <c r="G14" s="18">
        <v>50</v>
      </c>
      <c r="H14" s="18">
        <v>95</v>
      </c>
      <c r="I14" s="18">
        <v>53</v>
      </c>
      <c r="J14" s="18">
        <v>61</v>
      </c>
      <c r="K14" s="18">
        <v>39</v>
      </c>
      <c r="L14" s="18">
        <v>70</v>
      </c>
      <c r="M14" s="18">
        <v>91</v>
      </c>
      <c r="N14" s="18">
        <v>33</v>
      </c>
      <c r="O14" s="18">
        <v>69</v>
      </c>
      <c r="P14" s="11">
        <f t="shared" si="0"/>
        <v>806</v>
      </c>
    </row>
    <row r="15" spans="1:16" ht="19.899999999999999" customHeight="1" x14ac:dyDescent="0.15">
      <c r="A15" s="200"/>
      <c r="B15" s="212"/>
      <c r="C15" s="15" t="s">
        <v>19</v>
      </c>
      <c r="D15" s="41">
        <v>0</v>
      </c>
      <c r="E15" s="22">
        <v>15</v>
      </c>
      <c r="F15" s="22">
        <v>52</v>
      </c>
      <c r="G15" s="41">
        <v>0</v>
      </c>
      <c r="H15" s="41">
        <v>0</v>
      </c>
      <c r="I15" s="18">
        <v>2</v>
      </c>
      <c r="J15" s="18">
        <v>1</v>
      </c>
      <c r="K15" s="18">
        <v>3</v>
      </c>
      <c r="L15" s="41">
        <v>0</v>
      </c>
      <c r="M15" s="18">
        <v>19</v>
      </c>
      <c r="N15" s="18">
        <v>36</v>
      </c>
      <c r="O15" s="18">
        <v>26</v>
      </c>
      <c r="P15" s="11">
        <f t="shared" si="0"/>
        <v>154</v>
      </c>
    </row>
    <row r="16" spans="1:16" ht="19.899999999999999" customHeight="1" x14ac:dyDescent="0.15">
      <c r="A16" s="200"/>
      <c r="B16" s="213"/>
      <c r="C16" s="3" t="s">
        <v>22</v>
      </c>
      <c r="D16" s="5">
        <f t="shared" ref="D16:O16" si="3">SUM(D10:D15)</f>
        <v>401</v>
      </c>
      <c r="E16" s="5">
        <f t="shared" si="3"/>
        <v>436</v>
      </c>
      <c r="F16" s="5">
        <f t="shared" ref="F16" si="4">SUM(F10:F15)</f>
        <v>485</v>
      </c>
      <c r="G16" s="40">
        <f t="shared" si="3"/>
        <v>251</v>
      </c>
      <c r="H16" s="5">
        <f t="shared" si="3"/>
        <v>155</v>
      </c>
      <c r="I16" s="5">
        <f t="shared" si="3"/>
        <v>312</v>
      </c>
      <c r="J16" s="5">
        <f t="shared" si="3"/>
        <v>334</v>
      </c>
      <c r="K16" s="5">
        <f t="shared" si="3"/>
        <v>403</v>
      </c>
      <c r="L16" s="5">
        <f t="shared" si="3"/>
        <v>471</v>
      </c>
      <c r="M16" s="5">
        <f t="shared" si="3"/>
        <v>418</v>
      </c>
      <c r="N16" s="5">
        <f t="shared" si="3"/>
        <v>250</v>
      </c>
      <c r="O16" s="5">
        <f t="shared" si="3"/>
        <v>537</v>
      </c>
      <c r="P16" s="11">
        <f t="shared" si="0"/>
        <v>4453</v>
      </c>
    </row>
    <row r="17" spans="1:16" ht="19.5" customHeight="1" x14ac:dyDescent="0.15">
      <c r="A17" s="200"/>
      <c r="B17" s="214" t="s">
        <v>20</v>
      </c>
      <c r="C17" s="215"/>
      <c r="D17" s="18">
        <v>1236</v>
      </c>
      <c r="E17" s="22">
        <v>1973</v>
      </c>
      <c r="F17" s="22">
        <v>1815</v>
      </c>
      <c r="G17" s="41">
        <v>434</v>
      </c>
      <c r="H17" s="18">
        <v>284</v>
      </c>
      <c r="I17" s="18">
        <v>812</v>
      </c>
      <c r="J17" s="18">
        <v>697</v>
      </c>
      <c r="K17" s="18">
        <v>766</v>
      </c>
      <c r="L17" s="18">
        <v>1602</v>
      </c>
      <c r="M17" s="18">
        <v>1590</v>
      </c>
      <c r="N17" s="18">
        <v>734</v>
      </c>
      <c r="O17" s="18">
        <v>1178</v>
      </c>
      <c r="P17" s="11">
        <f t="shared" si="0"/>
        <v>13121</v>
      </c>
    </row>
    <row r="18" spans="1:16" ht="19.899999999999999" customHeight="1" x14ac:dyDescent="0.15">
      <c r="A18" s="200"/>
      <c r="B18" s="205" t="s">
        <v>127</v>
      </c>
      <c r="C18" s="205"/>
      <c r="D18" s="18">
        <v>153</v>
      </c>
      <c r="E18" s="22">
        <v>107</v>
      </c>
      <c r="F18" s="22">
        <v>122</v>
      </c>
      <c r="G18" s="42">
        <v>111</v>
      </c>
      <c r="H18" s="4">
        <v>60</v>
      </c>
      <c r="I18" s="4">
        <v>10</v>
      </c>
      <c r="J18" s="4">
        <v>38</v>
      </c>
      <c r="K18" s="4">
        <v>77</v>
      </c>
      <c r="L18" s="4">
        <v>106</v>
      </c>
      <c r="M18" s="4">
        <v>118</v>
      </c>
      <c r="N18" s="4">
        <v>156</v>
      </c>
      <c r="O18" s="4">
        <v>240</v>
      </c>
      <c r="P18" s="11">
        <f t="shared" si="0"/>
        <v>1298</v>
      </c>
    </row>
    <row r="19" spans="1:16" ht="26.45" customHeight="1" x14ac:dyDescent="0.15">
      <c r="A19" s="200"/>
      <c r="B19" s="199" t="s">
        <v>39</v>
      </c>
      <c r="C19" s="199"/>
      <c r="D19" s="6">
        <f t="shared" ref="D19:O19" si="5">D9+D18+D16+D17</f>
        <v>35993</v>
      </c>
      <c r="E19" s="6">
        <f t="shared" si="5"/>
        <v>29285</v>
      </c>
      <c r="F19" s="6">
        <f t="shared" ref="F19" si="6">F9+F18+F16+F17</f>
        <v>50795</v>
      </c>
      <c r="G19" s="43">
        <f t="shared" si="5"/>
        <v>31348</v>
      </c>
      <c r="H19" s="6">
        <f t="shared" si="5"/>
        <v>21716</v>
      </c>
      <c r="I19" s="6">
        <f t="shared" si="5"/>
        <v>34764</v>
      </c>
      <c r="J19" s="6">
        <f t="shared" si="5"/>
        <v>43459</v>
      </c>
      <c r="K19" s="6">
        <f t="shared" si="5"/>
        <v>27327</v>
      </c>
      <c r="L19" s="6">
        <f t="shared" si="5"/>
        <v>45359</v>
      </c>
      <c r="M19" s="6">
        <f t="shared" si="5"/>
        <v>49613</v>
      </c>
      <c r="N19" s="6">
        <f>N9+N18+N16+N17</f>
        <v>51367</v>
      </c>
      <c r="O19" s="6">
        <f t="shared" si="5"/>
        <v>40547</v>
      </c>
      <c r="P19" s="13">
        <f t="shared" ref="P19:P29" si="7">SUM(D19:O19)</f>
        <v>461573</v>
      </c>
    </row>
    <row r="20" spans="1:16" ht="19.5" customHeight="1" x14ac:dyDescent="0.15">
      <c r="A20" s="200" t="s">
        <v>21</v>
      </c>
      <c r="B20" s="211" t="s">
        <v>125</v>
      </c>
      <c r="C20" s="51" t="s">
        <v>25</v>
      </c>
      <c r="D20" s="4">
        <v>3598</v>
      </c>
      <c r="E20" s="22">
        <v>4092</v>
      </c>
      <c r="F20" s="22">
        <v>6473</v>
      </c>
      <c r="G20" s="42">
        <v>9179</v>
      </c>
      <c r="H20" s="4">
        <v>5087</v>
      </c>
      <c r="I20" s="4">
        <v>88</v>
      </c>
      <c r="J20" s="4">
        <v>5130</v>
      </c>
      <c r="K20" s="4">
        <v>10049</v>
      </c>
      <c r="L20" s="4">
        <v>11036</v>
      </c>
      <c r="M20" s="4">
        <v>5106</v>
      </c>
      <c r="N20" s="4">
        <v>5255</v>
      </c>
      <c r="O20" s="4">
        <v>11152</v>
      </c>
      <c r="P20" s="11">
        <f t="shared" si="7"/>
        <v>76245</v>
      </c>
    </row>
    <row r="21" spans="1:16" ht="20.100000000000001" customHeight="1" x14ac:dyDescent="0.15">
      <c r="A21" s="201"/>
      <c r="B21" s="212"/>
      <c r="C21" s="51" t="s">
        <v>26</v>
      </c>
      <c r="D21" s="4">
        <v>6057</v>
      </c>
      <c r="E21" s="22">
        <v>4749</v>
      </c>
      <c r="F21" s="22">
        <v>8489</v>
      </c>
      <c r="G21" s="42">
        <v>9652</v>
      </c>
      <c r="H21" s="4">
        <v>1299</v>
      </c>
      <c r="I21" s="4">
        <v>1493</v>
      </c>
      <c r="J21" s="4">
        <v>5767</v>
      </c>
      <c r="K21" s="4">
        <v>5320</v>
      </c>
      <c r="L21" s="4">
        <v>8487</v>
      </c>
      <c r="M21" s="4">
        <v>6828</v>
      </c>
      <c r="N21" s="4">
        <v>10857</v>
      </c>
      <c r="O21" s="4">
        <v>4811</v>
      </c>
      <c r="P21" s="11">
        <f t="shared" si="7"/>
        <v>73809</v>
      </c>
    </row>
    <row r="22" spans="1:16" ht="20.100000000000001" customHeight="1" x14ac:dyDescent="0.15">
      <c r="A22" s="201"/>
      <c r="B22" s="212"/>
      <c r="C22" s="51" t="s">
        <v>23</v>
      </c>
      <c r="D22" s="42">
        <v>767</v>
      </c>
      <c r="E22" s="22">
        <v>1028</v>
      </c>
      <c r="F22" s="22">
        <v>2274</v>
      </c>
      <c r="G22" s="42">
        <v>7868</v>
      </c>
      <c r="H22" s="42">
        <v>2466</v>
      </c>
      <c r="I22" s="42">
        <v>3158</v>
      </c>
      <c r="J22" s="42">
        <v>214</v>
      </c>
      <c r="K22" s="4">
        <v>1038</v>
      </c>
      <c r="L22" s="4">
        <v>3254</v>
      </c>
      <c r="M22" s="4">
        <v>3716</v>
      </c>
      <c r="N22" s="4">
        <v>4340</v>
      </c>
      <c r="O22" s="4">
        <v>1575</v>
      </c>
      <c r="P22" s="11">
        <f t="shared" si="7"/>
        <v>31698</v>
      </c>
    </row>
    <row r="23" spans="1:16" ht="20.100000000000001" customHeight="1" x14ac:dyDescent="0.15">
      <c r="A23" s="201"/>
      <c r="B23" s="212"/>
      <c r="C23" s="51" t="s">
        <v>24</v>
      </c>
      <c r="D23" s="4">
        <v>607</v>
      </c>
      <c r="E23" s="22">
        <v>515</v>
      </c>
      <c r="F23" s="22">
        <v>1542</v>
      </c>
      <c r="G23" s="42">
        <v>1950</v>
      </c>
      <c r="H23" s="4">
        <v>470</v>
      </c>
      <c r="I23" s="4">
        <v>371</v>
      </c>
      <c r="J23" s="4">
        <v>118</v>
      </c>
      <c r="K23" s="42">
        <v>1024</v>
      </c>
      <c r="L23" s="42">
        <v>3552</v>
      </c>
      <c r="M23" s="4">
        <v>5923</v>
      </c>
      <c r="N23" s="4">
        <v>2811</v>
      </c>
      <c r="O23" s="4">
        <v>1312</v>
      </c>
      <c r="P23" s="11">
        <f t="shared" si="7"/>
        <v>20195</v>
      </c>
    </row>
    <row r="24" spans="1:16" ht="20.100000000000001" customHeight="1" x14ac:dyDescent="0.15">
      <c r="A24" s="201"/>
      <c r="B24" s="212"/>
      <c r="C24" s="51" t="s">
        <v>28</v>
      </c>
      <c r="D24" s="4">
        <v>1098</v>
      </c>
      <c r="E24" s="22">
        <v>1066</v>
      </c>
      <c r="F24" s="22">
        <v>1003</v>
      </c>
      <c r="G24" s="42">
        <v>973</v>
      </c>
      <c r="H24" s="4">
        <v>516</v>
      </c>
      <c r="I24" s="4">
        <v>20</v>
      </c>
      <c r="J24" s="4">
        <v>257</v>
      </c>
      <c r="K24" s="4">
        <v>848</v>
      </c>
      <c r="L24" s="4">
        <v>1338</v>
      </c>
      <c r="M24" s="4">
        <v>1636</v>
      </c>
      <c r="N24" s="4">
        <v>398</v>
      </c>
      <c r="O24" s="4">
        <v>1322</v>
      </c>
      <c r="P24" s="11">
        <f t="shared" si="7"/>
        <v>10475</v>
      </c>
    </row>
    <row r="25" spans="1:16" ht="20.100000000000001" customHeight="1" x14ac:dyDescent="0.15">
      <c r="A25" s="201"/>
      <c r="B25" s="212"/>
      <c r="C25" s="51" t="s">
        <v>29</v>
      </c>
      <c r="D25" s="4">
        <v>35</v>
      </c>
      <c r="E25" s="22">
        <v>177</v>
      </c>
      <c r="F25" s="22">
        <v>232</v>
      </c>
      <c r="G25" s="42">
        <v>61</v>
      </c>
      <c r="H25" s="42">
        <v>0</v>
      </c>
      <c r="I25" s="4">
        <v>71</v>
      </c>
      <c r="J25" s="4">
        <v>25</v>
      </c>
      <c r="K25" s="4">
        <v>28</v>
      </c>
      <c r="L25" s="4">
        <v>17</v>
      </c>
      <c r="M25" s="4">
        <v>4</v>
      </c>
      <c r="N25" s="4">
        <v>1</v>
      </c>
      <c r="O25" s="4">
        <v>13</v>
      </c>
      <c r="P25" s="11">
        <f t="shared" si="7"/>
        <v>664</v>
      </c>
    </row>
    <row r="26" spans="1:16" ht="20.100000000000001" customHeight="1" x14ac:dyDescent="0.15">
      <c r="A26" s="201"/>
      <c r="B26" s="212"/>
      <c r="C26" s="51" t="s">
        <v>30</v>
      </c>
      <c r="D26" s="4">
        <v>395</v>
      </c>
      <c r="E26" s="22">
        <v>479</v>
      </c>
      <c r="F26" s="22">
        <v>1025</v>
      </c>
      <c r="G26" s="42">
        <v>198</v>
      </c>
      <c r="H26" s="4">
        <v>7</v>
      </c>
      <c r="I26" s="4">
        <v>105</v>
      </c>
      <c r="J26" s="4">
        <v>25</v>
      </c>
      <c r="K26" s="4">
        <v>146</v>
      </c>
      <c r="L26" s="4">
        <v>230</v>
      </c>
      <c r="M26" s="4">
        <v>139</v>
      </c>
      <c r="N26" s="4">
        <v>235</v>
      </c>
      <c r="O26" s="4">
        <v>364</v>
      </c>
      <c r="P26" s="11">
        <f t="shared" si="7"/>
        <v>3348</v>
      </c>
    </row>
    <row r="27" spans="1:16" ht="20.100000000000001" customHeight="1" x14ac:dyDescent="0.15">
      <c r="A27" s="201"/>
      <c r="B27" s="212"/>
      <c r="C27" s="51" t="s">
        <v>34</v>
      </c>
      <c r="D27" s="4">
        <v>2</v>
      </c>
      <c r="E27" s="22">
        <v>0</v>
      </c>
      <c r="F27" s="22">
        <v>0</v>
      </c>
      <c r="G27" s="42">
        <v>28</v>
      </c>
      <c r="H27" s="42">
        <v>0</v>
      </c>
      <c r="I27" s="42">
        <v>0</v>
      </c>
      <c r="J27" s="42">
        <v>0</v>
      </c>
      <c r="K27" s="42">
        <v>0</v>
      </c>
      <c r="L27" s="42">
        <v>0</v>
      </c>
      <c r="M27" s="42">
        <v>0</v>
      </c>
      <c r="N27" s="42">
        <v>0</v>
      </c>
      <c r="O27" s="42">
        <v>0</v>
      </c>
      <c r="P27" s="11">
        <f t="shared" si="7"/>
        <v>30</v>
      </c>
    </row>
    <row r="28" spans="1:16" ht="20.100000000000001" customHeight="1" x14ac:dyDescent="0.15">
      <c r="A28" s="201"/>
      <c r="B28" s="212"/>
      <c r="C28" s="51" t="s">
        <v>33</v>
      </c>
      <c r="D28" s="4">
        <v>3</v>
      </c>
      <c r="E28" s="22">
        <v>490</v>
      </c>
      <c r="F28" s="22">
        <v>811</v>
      </c>
      <c r="G28" s="42">
        <v>2105</v>
      </c>
      <c r="H28" s="4">
        <v>747</v>
      </c>
      <c r="I28" s="4">
        <v>401</v>
      </c>
      <c r="J28" s="4">
        <v>140</v>
      </c>
      <c r="K28" s="4">
        <v>169</v>
      </c>
      <c r="L28" s="42">
        <v>90</v>
      </c>
      <c r="M28" s="4">
        <v>475</v>
      </c>
      <c r="N28" s="4">
        <v>521</v>
      </c>
      <c r="O28" s="4">
        <v>613</v>
      </c>
      <c r="P28" s="11">
        <f t="shared" si="7"/>
        <v>6565</v>
      </c>
    </row>
    <row r="29" spans="1:16" ht="20.100000000000001" customHeight="1" x14ac:dyDescent="0.15">
      <c r="A29" s="201"/>
      <c r="B29" s="212"/>
      <c r="C29" s="51" t="s">
        <v>31</v>
      </c>
      <c r="D29" s="4">
        <v>927</v>
      </c>
      <c r="E29" s="22">
        <v>631</v>
      </c>
      <c r="F29" s="22">
        <v>1981</v>
      </c>
      <c r="G29" s="42">
        <v>821</v>
      </c>
      <c r="H29" s="4">
        <v>648</v>
      </c>
      <c r="I29" s="4">
        <v>143</v>
      </c>
      <c r="J29" s="4">
        <v>577</v>
      </c>
      <c r="K29" s="4">
        <v>1564</v>
      </c>
      <c r="L29" s="4">
        <v>1205</v>
      </c>
      <c r="M29" s="4">
        <v>841</v>
      </c>
      <c r="N29" s="4">
        <v>1646</v>
      </c>
      <c r="O29" s="4">
        <v>2078</v>
      </c>
      <c r="P29" s="11">
        <f t="shared" si="7"/>
        <v>13062</v>
      </c>
    </row>
    <row r="30" spans="1:16" ht="20.100000000000001" customHeight="1" x14ac:dyDescent="0.15">
      <c r="A30" s="201"/>
      <c r="B30" s="212"/>
      <c r="C30" s="51" t="s">
        <v>110</v>
      </c>
      <c r="D30" s="4">
        <v>40</v>
      </c>
      <c r="E30" s="22">
        <v>427</v>
      </c>
      <c r="F30" s="22">
        <v>1046</v>
      </c>
      <c r="G30" s="42">
        <v>1546</v>
      </c>
      <c r="H30" s="4">
        <v>775</v>
      </c>
      <c r="I30" s="4">
        <v>986</v>
      </c>
      <c r="J30" s="4">
        <v>1207</v>
      </c>
      <c r="K30" s="4">
        <v>1153</v>
      </c>
      <c r="L30" s="4">
        <v>1462</v>
      </c>
      <c r="M30" s="4">
        <v>1401</v>
      </c>
      <c r="N30" s="4">
        <v>1571</v>
      </c>
      <c r="O30" s="4">
        <v>1488</v>
      </c>
      <c r="P30" s="11">
        <f t="shared" ref="P30:P47" si="8">SUM(D30:O30)</f>
        <v>13102</v>
      </c>
    </row>
    <row r="31" spans="1:16" ht="20.100000000000001" customHeight="1" x14ac:dyDescent="0.15">
      <c r="A31" s="201"/>
      <c r="B31" s="212"/>
      <c r="C31" s="51" t="s">
        <v>27</v>
      </c>
      <c r="D31" s="4">
        <v>100</v>
      </c>
      <c r="E31" s="22">
        <v>382</v>
      </c>
      <c r="F31" s="22">
        <v>662</v>
      </c>
      <c r="G31" s="42">
        <v>259</v>
      </c>
      <c r="H31" s="4">
        <v>310</v>
      </c>
      <c r="I31" s="4">
        <v>101</v>
      </c>
      <c r="J31" s="4">
        <v>588</v>
      </c>
      <c r="K31" s="4">
        <v>325</v>
      </c>
      <c r="L31" s="4">
        <v>1415</v>
      </c>
      <c r="M31" s="4">
        <v>368</v>
      </c>
      <c r="N31" s="4">
        <v>975</v>
      </c>
      <c r="O31" s="4">
        <v>1926</v>
      </c>
      <c r="P31" s="11">
        <f t="shared" si="8"/>
        <v>7411</v>
      </c>
    </row>
    <row r="32" spans="1:16" ht="20.100000000000001" customHeight="1" x14ac:dyDescent="0.15">
      <c r="A32" s="201"/>
      <c r="B32" s="212"/>
      <c r="C32" s="51" t="s">
        <v>32</v>
      </c>
      <c r="D32" s="4">
        <v>262</v>
      </c>
      <c r="E32" s="22">
        <v>158</v>
      </c>
      <c r="F32" s="22">
        <v>256</v>
      </c>
      <c r="G32" s="42">
        <v>182</v>
      </c>
      <c r="H32" s="4">
        <v>123</v>
      </c>
      <c r="I32" s="4">
        <v>1</v>
      </c>
      <c r="J32" s="4">
        <v>110</v>
      </c>
      <c r="K32" s="4">
        <v>265</v>
      </c>
      <c r="L32" s="4">
        <v>411</v>
      </c>
      <c r="M32" s="4">
        <v>355</v>
      </c>
      <c r="N32" s="4">
        <v>207</v>
      </c>
      <c r="O32" s="4">
        <v>814</v>
      </c>
      <c r="P32" s="11">
        <f t="shared" si="8"/>
        <v>3144</v>
      </c>
    </row>
    <row r="33" spans="1:16" ht="20.100000000000001" customHeight="1" x14ac:dyDescent="0.15">
      <c r="A33" s="201"/>
      <c r="B33" s="212"/>
      <c r="C33" s="51" t="s">
        <v>50</v>
      </c>
      <c r="D33" s="4">
        <v>96</v>
      </c>
      <c r="E33" s="22">
        <v>43</v>
      </c>
      <c r="F33" s="22">
        <v>357</v>
      </c>
      <c r="G33" s="42">
        <v>237</v>
      </c>
      <c r="H33" s="4">
        <v>42</v>
      </c>
      <c r="I33" s="42">
        <v>0</v>
      </c>
      <c r="J33" s="42">
        <v>0</v>
      </c>
      <c r="K33" s="42">
        <v>63</v>
      </c>
      <c r="L33" s="42">
        <v>103</v>
      </c>
      <c r="M33" s="42">
        <v>104</v>
      </c>
      <c r="N33" s="42">
        <v>8</v>
      </c>
      <c r="O33" s="42">
        <v>7</v>
      </c>
      <c r="P33" s="11">
        <f t="shared" si="8"/>
        <v>1060</v>
      </c>
    </row>
    <row r="34" spans="1:16" ht="20.100000000000001" customHeight="1" x14ac:dyDescent="0.15">
      <c r="A34" s="201"/>
      <c r="B34" s="212"/>
      <c r="C34" s="51" t="s">
        <v>98</v>
      </c>
      <c r="D34" s="42">
        <v>0</v>
      </c>
      <c r="E34" s="22">
        <v>70</v>
      </c>
      <c r="F34" s="22">
        <v>410</v>
      </c>
      <c r="G34" s="42">
        <v>1</v>
      </c>
      <c r="H34" s="42">
        <v>0</v>
      </c>
      <c r="I34" s="42">
        <v>0</v>
      </c>
      <c r="J34" s="4">
        <v>141</v>
      </c>
      <c r="K34" s="4">
        <v>140</v>
      </c>
      <c r="L34" s="4">
        <v>419</v>
      </c>
      <c r="M34" s="4">
        <v>100</v>
      </c>
      <c r="N34" s="4">
        <v>15</v>
      </c>
      <c r="O34" s="4">
        <v>15</v>
      </c>
      <c r="P34" s="11">
        <f t="shared" si="8"/>
        <v>1311</v>
      </c>
    </row>
    <row r="35" spans="1:16" ht="20.100000000000001" customHeight="1" x14ac:dyDescent="0.15">
      <c r="A35" s="201"/>
      <c r="B35" s="212"/>
      <c r="C35" s="51" t="s">
        <v>131</v>
      </c>
      <c r="D35" s="42">
        <v>0</v>
      </c>
      <c r="E35" s="22">
        <v>0</v>
      </c>
      <c r="F35" s="22">
        <v>0</v>
      </c>
      <c r="G35" s="44">
        <v>0</v>
      </c>
      <c r="H35" s="44">
        <v>0</v>
      </c>
      <c r="I35" s="44">
        <v>0</v>
      </c>
      <c r="J35" s="44">
        <v>0</v>
      </c>
      <c r="K35" s="49">
        <v>0</v>
      </c>
      <c r="L35" s="42">
        <v>0</v>
      </c>
      <c r="M35" s="50">
        <v>0</v>
      </c>
      <c r="N35" s="42">
        <v>0</v>
      </c>
      <c r="O35" s="50">
        <v>0</v>
      </c>
      <c r="P35" s="11">
        <f t="shared" si="8"/>
        <v>0</v>
      </c>
    </row>
    <row r="36" spans="1:16" ht="20.100000000000001" customHeight="1" x14ac:dyDescent="0.15">
      <c r="A36" s="201"/>
      <c r="B36" s="212"/>
      <c r="C36" s="51" t="s">
        <v>19</v>
      </c>
      <c r="D36" s="4">
        <v>3225</v>
      </c>
      <c r="E36" s="22">
        <v>4088</v>
      </c>
      <c r="F36" s="22">
        <v>1216</v>
      </c>
      <c r="G36" s="42">
        <v>1768</v>
      </c>
      <c r="H36" s="4">
        <v>1321</v>
      </c>
      <c r="I36" s="4">
        <v>2652</v>
      </c>
      <c r="J36" s="4">
        <v>234</v>
      </c>
      <c r="K36" s="4">
        <v>2956</v>
      </c>
      <c r="L36" s="4">
        <v>3404</v>
      </c>
      <c r="M36" s="4">
        <v>2831</v>
      </c>
      <c r="N36" s="4">
        <v>1035</v>
      </c>
      <c r="O36" s="4">
        <v>820</v>
      </c>
      <c r="P36" s="11">
        <f>SUM(D36:O36)</f>
        <v>25550</v>
      </c>
    </row>
    <row r="37" spans="1:16" ht="20.100000000000001" customHeight="1" x14ac:dyDescent="0.15">
      <c r="A37" s="201"/>
      <c r="B37" s="213"/>
      <c r="C37" s="19" t="s">
        <v>130</v>
      </c>
      <c r="D37" s="20">
        <f t="shared" ref="D37:O37" si="9">SUM(D20:D36)</f>
        <v>17212</v>
      </c>
      <c r="E37" s="20">
        <f t="shared" si="9"/>
        <v>18395</v>
      </c>
      <c r="F37" s="20">
        <f t="shared" ref="F37" si="10">SUM(F20:F36)</f>
        <v>27777</v>
      </c>
      <c r="G37" s="45">
        <f t="shared" si="9"/>
        <v>36828</v>
      </c>
      <c r="H37" s="20">
        <f t="shared" si="9"/>
        <v>13811</v>
      </c>
      <c r="I37" s="20">
        <f t="shared" si="9"/>
        <v>9590</v>
      </c>
      <c r="J37" s="20">
        <f t="shared" si="9"/>
        <v>14533</v>
      </c>
      <c r="K37" s="20">
        <f t="shared" si="9"/>
        <v>25088</v>
      </c>
      <c r="L37" s="20">
        <f t="shared" si="9"/>
        <v>36423</v>
      </c>
      <c r="M37" s="20">
        <f t="shared" si="9"/>
        <v>29827</v>
      </c>
      <c r="N37" s="20">
        <f t="shared" si="9"/>
        <v>29875</v>
      </c>
      <c r="O37" s="20">
        <f t="shared" si="9"/>
        <v>28310</v>
      </c>
      <c r="P37" s="11">
        <f t="shared" si="8"/>
        <v>287669</v>
      </c>
    </row>
    <row r="38" spans="1:16" ht="20.100000000000001" customHeight="1" x14ac:dyDescent="0.15">
      <c r="A38" s="201"/>
      <c r="B38" s="220" t="s">
        <v>124</v>
      </c>
      <c r="C38" s="51" t="s">
        <v>36</v>
      </c>
      <c r="D38" s="4">
        <v>22</v>
      </c>
      <c r="E38" s="22">
        <v>32</v>
      </c>
      <c r="F38" s="22">
        <v>21</v>
      </c>
      <c r="G38" s="42">
        <v>53</v>
      </c>
      <c r="H38" s="4">
        <v>28</v>
      </c>
      <c r="I38" s="4">
        <v>12</v>
      </c>
      <c r="J38" s="4">
        <v>56</v>
      </c>
      <c r="K38" s="4">
        <v>36</v>
      </c>
      <c r="L38" s="4">
        <v>29</v>
      </c>
      <c r="M38" s="42">
        <v>59</v>
      </c>
      <c r="N38" s="4">
        <v>44</v>
      </c>
      <c r="O38" s="4">
        <v>116</v>
      </c>
      <c r="P38" s="11">
        <f t="shared" si="8"/>
        <v>508</v>
      </c>
    </row>
    <row r="39" spans="1:16" ht="20.100000000000001" customHeight="1" x14ac:dyDescent="0.15">
      <c r="A39" s="201"/>
      <c r="B39" s="221"/>
      <c r="C39" s="51" t="s">
        <v>46</v>
      </c>
      <c r="D39" s="4">
        <v>89</v>
      </c>
      <c r="E39" s="22">
        <v>18</v>
      </c>
      <c r="F39" s="22">
        <v>101</v>
      </c>
      <c r="G39" s="42">
        <v>115</v>
      </c>
      <c r="H39" s="4">
        <v>4</v>
      </c>
      <c r="I39" s="42">
        <v>0</v>
      </c>
      <c r="J39" s="4">
        <v>49</v>
      </c>
      <c r="K39" s="4">
        <v>44</v>
      </c>
      <c r="L39" s="4">
        <v>25</v>
      </c>
      <c r="M39" s="4">
        <v>22</v>
      </c>
      <c r="N39" s="4">
        <v>106</v>
      </c>
      <c r="O39" s="4">
        <v>53</v>
      </c>
      <c r="P39" s="11">
        <f t="shared" si="8"/>
        <v>626</v>
      </c>
    </row>
    <row r="40" spans="1:16" ht="20.100000000000001" customHeight="1" x14ac:dyDescent="0.15">
      <c r="A40" s="201"/>
      <c r="B40" s="221"/>
      <c r="C40" s="51" t="s">
        <v>136</v>
      </c>
      <c r="D40" s="4">
        <v>213</v>
      </c>
      <c r="E40" s="22">
        <v>65</v>
      </c>
      <c r="F40" s="22">
        <v>21</v>
      </c>
      <c r="G40" s="42">
        <v>104</v>
      </c>
      <c r="H40" s="4">
        <v>87</v>
      </c>
      <c r="I40" s="42">
        <v>0</v>
      </c>
      <c r="J40" s="4">
        <v>189</v>
      </c>
      <c r="K40" s="4">
        <v>303</v>
      </c>
      <c r="L40" s="4">
        <v>93</v>
      </c>
      <c r="M40" s="4">
        <v>183</v>
      </c>
      <c r="N40" s="4">
        <v>94</v>
      </c>
      <c r="O40" s="4">
        <v>124</v>
      </c>
      <c r="P40" s="11">
        <f t="shared" si="8"/>
        <v>1476</v>
      </c>
    </row>
    <row r="41" spans="1:16" ht="20.100000000000001" customHeight="1" x14ac:dyDescent="0.15">
      <c r="A41" s="201"/>
      <c r="B41" s="221"/>
      <c r="C41" s="51" t="s">
        <v>19</v>
      </c>
      <c r="D41" s="4">
        <v>28</v>
      </c>
      <c r="E41" s="22">
        <v>204</v>
      </c>
      <c r="F41" s="22">
        <v>119</v>
      </c>
      <c r="G41" s="42">
        <v>116</v>
      </c>
      <c r="H41" s="4">
        <v>74</v>
      </c>
      <c r="I41" s="4">
        <v>71</v>
      </c>
      <c r="J41" s="4">
        <v>151</v>
      </c>
      <c r="K41" s="4">
        <v>62</v>
      </c>
      <c r="L41" s="4">
        <v>140</v>
      </c>
      <c r="M41" s="4">
        <v>77</v>
      </c>
      <c r="N41" s="4">
        <v>79</v>
      </c>
      <c r="O41" s="4">
        <v>256</v>
      </c>
      <c r="P41" s="11">
        <f t="shared" si="8"/>
        <v>1377</v>
      </c>
    </row>
    <row r="42" spans="1:16" ht="20.100000000000001" customHeight="1" x14ac:dyDescent="0.15">
      <c r="A42" s="201"/>
      <c r="B42" s="222"/>
      <c r="C42" s="19" t="s">
        <v>130</v>
      </c>
      <c r="D42" s="20">
        <f t="shared" ref="D42:O42" si="11">SUM(D38:D41)</f>
        <v>352</v>
      </c>
      <c r="E42" s="20">
        <f t="shared" si="11"/>
        <v>319</v>
      </c>
      <c r="F42" s="20">
        <f t="shared" ref="F42" si="12">SUM(F38:F41)</f>
        <v>262</v>
      </c>
      <c r="G42" s="45">
        <f t="shared" si="11"/>
        <v>388</v>
      </c>
      <c r="H42" s="20">
        <f t="shared" si="11"/>
        <v>193</v>
      </c>
      <c r="I42" s="20">
        <f t="shared" si="11"/>
        <v>83</v>
      </c>
      <c r="J42" s="20">
        <f t="shared" si="11"/>
        <v>445</v>
      </c>
      <c r="K42" s="20">
        <f t="shared" si="11"/>
        <v>445</v>
      </c>
      <c r="L42" s="20">
        <f t="shared" si="11"/>
        <v>287</v>
      </c>
      <c r="M42" s="20">
        <f t="shared" si="11"/>
        <v>341</v>
      </c>
      <c r="N42" s="20">
        <f t="shared" si="11"/>
        <v>323</v>
      </c>
      <c r="O42" s="20">
        <f t="shared" si="11"/>
        <v>549</v>
      </c>
      <c r="P42" s="11">
        <f t="shared" si="8"/>
        <v>3987</v>
      </c>
    </row>
    <row r="43" spans="1:16" ht="20.100000000000001" customHeight="1" x14ac:dyDescent="0.15">
      <c r="A43" s="201"/>
      <c r="B43" s="216" t="s">
        <v>127</v>
      </c>
      <c r="C43" s="217"/>
      <c r="D43" s="4">
        <v>184</v>
      </c>
      <c r="E43" s="22">
        <v>80</v>
      </c>
      <c r="F43" s="22">
        <v>194</v>
      </c>
      <c r="G43" s="42">
        <v>327</v>
      </c>
      <c r="H43" s="4">
        <v>327</v>
      </c>
      <c r="I43" s="4">
        <v>182</v>
      </c>
      <c r="J43" s="4">
        <v>224</v>
      </c>
      <c r="K43" s="4">
        <v>179</v>
      </c>
      <c r="L43" s="4">
        <v>231</v>
      </c>
      <c r="M43" s="4">
        <v>221</v>
      </c>
      <c r="N43" s="4">
        <v>142</v>
      </c>
      <c r="O43" s="4">
        <v>250</v>
      </c>
      <c r="P43" s="11">
        <f t="shared" si="8"/>
        <v>2541</v>
      </c>
    </row>
    <row r="44" spans="1:16" ht="24.75" customHeight="1" x14ac:dyDescent="0.15">
      <c r="A44" s="201"/>
      <c r="B44" s="199" t="s">
        <v>40</v>
      </c>
      <c r="C44" s="199"/>
      <c r="D44" s="6">
        <f t="shared" ref="D44:O44" si="13">D37+D42+D43</f>
        <v>17748</v>
      </c>
      <c r="E44" s="6">
        <f t="shared" si="13"/>
        <v>18794</v>
      </c>
      <c r="F44" s="6">
        <f t="shared" ref="F44" si="14">F37+F42+F43</f>
        <v>28233</v>
      </c>
      <c r="G44" s="43">
        <f t="shared" si="13"/>
        <v>37543</v>
      </c>
      <c r="H44" s="6">
        <f t="shared" si="13"/>
        <v>14331</v>
      </c>
      <c r="I44" s="6">
        <f t="shared" si="13"/>
        <v>9855</v>
      </c>
      <c r="J44" s="6">
        <f t="shared" si="13"/>
        <v>15202</v>
      </c>
      <c r="K44" s="6">
        <f t="shared" si="13"/>
        <v>25712</v>
      </c>
      <c r="L44" s="6">
        <f t="shared" si="13"/>
        <v>36941</v>
      </c>
      <c r="M44" s="6">
        <f t="shared" si="13"/>
        <v>30389</v>
      </c>
      <c r="N44" s="6">
        <f>N37+N42+N43</f>
        <v>30340</v>
      </c>
      <c r="O44" s="6">
        <f t="shared" si="13"/>
        <v>29109</v>
      </c>
      <c r="P44" s="13">
        <f t="shared" si="8"/>
        <v>294197</v>
      </c>
    </row>
    <row r="45" spans="1:16" s="2" customFormat="1" ht="26.45" customHeight="1" x14ac:dyDescent="0.15">
      <c r="A45" s="202" t="s">
        <v>41</v>
      </c>
      <c r="B45" s="203"/>
      <c r="C45" s="203"/>
      <c r="D45" s="7">
        <f t="shared" ref="D45:O45" si="15">SUM(D19,D44)</f>
        <v>53741</v>
      </c>
      <c r="E45" s="7">
        <f t="shared" si="15"/>
        <v>48079</v>
      </c>
      <c r="F45" s="7">
        <f t="shared" ref="F45" si="16">SUM(F19,F44)</f>
        <v>79028</v>
      </c>
      <c r="G45" s="46">
        <f t="shared" si="15"/>
        <v>68891</v>
      </c>
      <c r="H45" s="7">
        <f t="shared" si="15"/>
        <v>36047</v>
      </c>
      <c r="I45" s="7">
        <f t="shared" si="15"/>
        <v>44619</v>
      </c>
      <c r="J45" s="7">
        <f t="shared" si="15"/>
        <v>58661</v>
      </c>
      <c r="K45" s="7">
        <f t="shared" si="15"/>
        <v>53039</v>
      </c>
      <c r="L45" s="7">
        <f t="shared" si="15"/>
        <v>82300</v>
      </c>
      <c r="M45" s="7">
        <f t="shared" si="15"/>
        <v>80002</v>
      </c>
      <c r="N45" s="7">
        <f t="shared" si="15"/>
        <v>81707</v>
      </c>
      <c r="O45" s="7">
        <f t="shared" si="15"/>
        <v>69656</v>
      </c>
      <c r="P45" s="12">
        <f t="shared" si="8"/>
        <v>755770</v>
      </c>
    </row>
    <row r="46" spans="1:16" ht="19.5" customHeight="1" x14ac:dyDescent="0.15">
      <c r="A46" s="204" t="s">
        <v>43</v>
      </c>
      <c r="B46" s="205"/>
      <c r="C46" s="205"/>
      <c r="D46" s="4">
        <v>48001</v>
      </c>
      <c r="E46" s="22">
        <v>41213</v>
      </c>
      <c r="F46" s="22">
        <v>40845</v>
      </c>
      <c r="G46" s="42">
        <v>46394</v>
      </c>
      <c r="H46" s="4">
        <v>26824</v>
      </c>
      <c r="I46" s="4">
        <v>24875</v>
      </c>
      <c r="J46" s="4">
        <v>42866</v>
      </c>
      <c r="K46" s="4">
        <v>26864</v>
      </c>
      <c r="L46" s="4">
        <v>48024</v>
      </c>
      <c r="M46" s="4">
        <v>46193</v>
      </c>
      <c r="N46" s="4">
        <v>56159</v>
      </c>
      <c r="O46" s="4">
        <v>39270</v>
      </c>
      <c r="P46" s="11">
        <f t="shared" si="8"/>
        <v>487528</v>
      </c>
    </row>
    <row r="47" spans="1:16" ht="20.100000000000001" customHeight="1" x14ac:dyDescent="0.15">
      <c r="A47" s="218" t="s">
        <v>129</v>
      </c>
      <c r="B47" s="219"/>
      <c r="C47" s="217"/>
      <c r="D47" s="16">
        <v>2826</v>
      </c>
      <c r="E47" s="22">
        <v>1695</v>
      </c>
      <c r="F47" s="22">
        <v>1172</v>
      </c>
      <c r="G47" s="47">
        <v>1154</v>
      </c>
      <c r="H47" s="16">
        <v>591</v>
      </c>
      <c r="I47" s="16">
        <v>526</v>
      </c>
      <c r="J47" s="16">
        <v>1582</v>
      </c>
      <c r="K47" s="16">
        <v>1143</v>
      </c>
      <c r="L47" s="16">
        <v>2044</v>
      </c>
      <c r="M47" s="16">
        <v>797</v>
      </c>
      <c r="N47" s="16">
        <v>1459</v>
      </c>
      <c r="O47" s="16">
        <v>1841</v>
      </c>
      <c r="P47" s="17">
        <f t="shared" si="8"/>
        <v>16830</v>
      </c>
    </row>
    <row r="48" spans="1:16" s="2" customFormat="1" ht="27.75" customHeight="1" thickBot="1" x14ac:dyDescent="0.2">
      <c r="A48" s="197" t="s">
        <v>42</v>
      </c>
      <c r="B48" s="198"/>
      <c r="C48" s="198"/>
      <c r="D48" s="21">
        <f t="shared" ref="D48:O48" si="17">D45+D46+D47</f>
        <v>104568</v>
      </c>
      <c r="E48" s="21">
        <f t="shared" si="17"/>
        <v>90987</v>
      </c>
      <c r="F48" s="21">
        <f t="shared" ref="F48" si="18">F45+F46+F47</f>
        <v>121045</v>
      </c>
      <c r="G48" s="48">
        <f t="shared" si="17"/>
        <v>116439</v>
      </c>
      <c r="H48" s="21">
        <f t="shared" si="17"/>
        <v>63462</v>
      </c>
      <c r="I48" s="21">
        <f t="shared" si="17"/>
        <v>70020</v>
      </c>
      <c r="J48" s="21">
        <f t="shared" si="17"/>
        <v>103109</v>
      </c>
      <c r="K48" s="21">
        <f t="shared" si="17"/>
        <v>81046</v>
      </c>
      <c r="L48" s="21">
        <f t="shared" si="17"/>
        <v>132368</v>
      </c>
      <c r="M48" s="21">
        <f t="shared" si="17"/>
        <v>126992</v>
      </c>
      <c r="N48" s="21">
        <f t="shared" si="17"/>
        <v>139325</v>
      </c>
      <c r="O48" s="21">
        <f t="shared" si="17"/>
        <v>110767</v>
      </c>
      <c r="P48" s="14">
        <f>SUM(D48:O48)</f>
        <v>1260128</v>
      </c>
    </row>
    <row r="49" ht="20.100000000000001" customHeight="1" x14ac:dyDescent="0.15"/>
  </sheetData>
  <mergeCells count="17">
    <mergeCell ref="A1:P1"/>
    <mergeCell ref="A2:C2"/>
    <mergeCell ref="A3:A19"/>
    <mergeCell ref="B3:B9"/>
    <mergeCell ref="B10:B16"/>
    <mergeCell ref="B17:C17"/>
    <mergeCell ref="B18:C18"/>
    <mergeCell ref="B19:C19"/>
    <mergeCell ref="A46:C46"/>
    <mergeCell ref="A47:C47"/>
    <mergeCell ref="A48:C48"/>
    <mergeCell ref="A20:A44"/>
    <mergeCell ref="B20:B37"/>
    <mergeCell ref="B38:B42"/>
    <mergeCell ref="B43:C43"/>
    <mergeCell ref="B44:C44"/>
    <mergeCell ref="A45:C45"/>
  </mergeCells>
  <phoneticPr fontId="14" type="noConversion"/>
  <pageMargins left="1.3385826771653544" right="0.51181102362204722" top="0.70866141732283472" bottom="0.35433070866141736" header="0.11811023622047245" footer="0.11811023622047245"/>
  <pageSetup paperSize="9" scale="53" fitToWidth="2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P57"/>
  <sheetViews>
    <sheetView zoomScale="90" zoomScaleNormal="90" workbookViewId="0">
      <pane xSplit="3" ySplit="2" topLeftCell="D27" activePane="bottomRight" state="frozen"/>
      <selection pane="topRight" activeCell="D1" sqref="D1"/>
      <selection pane="bottomLeft" activeCell="A3" sqref="A3"/>
      <selection pane="bottomRight" activeCell="P49" sqref="P49"/>
    </sheetView>
  </sheetViews>
  <sheetFormatPr defaultRowHeight="13.5" x14ac:dyDescent="0.15"/>
  <cols>
    <col min="1" max="1" width="5.21875" customWidth="1"/>
    <col min="2" max="2" width="5.44140625" customWidth="1"/>
    <col min="3" max="3" width="11.44140625" customWidth="1"/>
    <col min="4" max="15" width="13.5546875" customWidth="1"/>
    <col min="16" max="16" width="14.6640625" style="2" customWidth="1"/>
  </cols>
  <sheetData>
    <row r="1" spans="1:16" ht="51" customHeight="1" thickBot="1" x14ac:dyDescent="0.2">
      <c r="A1" s="207" t="s">
        <v>152</v>
      </c>
      <c r="B1" s="208"/>
      <c r="C1" s="208"/>
      <c r="D1" s="208"/>
      <c r="E1" s="208"/>
      <c r="F1" s="208"/>
      <c r="G1" s="208"/>
      <c r="H1" s="208"/>
      <c r="I1" s="208"/>
      <c r="J1" s="208"/>
      <c r="K1" s="208"/>
      <c r="L1" s="208"/>
      <c r="M1" s="208"/>
      <c r="N1" s="208"/>
      <c r="O1" s="208"/>
      <c r="P1" s="208"/>
    </row>
    <row r="2" spans="1:16" ht="25.5" customHeight="1" x14ac:dyDescent="0.15">
      <c r="A2" s="209" t="s">
        <v>13</v>
      </c>
      <c r="B2" s="210"/>
      <c r="C2" s="210"/>
      <c r="D2" s="54" t="s">
        <v>0</v>
      </c>
      <c r="E2" s="54" t="s">
        <v>1</v>
      </c>
      <c r="F2" s="54" t="s">
        <v>2</v>
      </c>
      <c r="G2" s="54" t="s">
        <v>3</v>
      </c>
      <c r="H2" s="54" t="s">
        <v>4</v>
      </c>
      <c r="I2" s="54" t="s">
        <v>5</v>
      </c>
      <c r="J2" s="54" t="s">
        <v>6</v>
      </c>
      <c r="K2" s="54" t="s">
        <v>7</v>
      </c>
      <c r="L2" s="54" t="s">
        <v>8</v>
      </c>
      <c r="M2" s="54" t="s">
        <v>9</v>
      </c>
      <c r="N2" s="54" t="s">
        <v>10</v>
      </c>
      <c r="O2" s="54" t="s">
        <v>11</v>
      </c>
      <c r="P2" s="9" t="s">
        <v>44</v>
      </c>
    </row>
    <row r="3" spans="1:16" ht="19.899999999999999" customHeight="1" x14ac:dyDescent="0.15">
      <c r="A3" s="200" t="s">
        <v>14</v>
      </c>
      <c r="B3" s="206" t="s">
        <v>122</v>
      </c>
      <c r="C3" s="53" t="s">
        <v>16</v>
      </c>
      <c r="D3" s="18">
        <v>41577</v>
      </c>
      <c r="E3" s="22">
        <v>40701</v>
      </c>
      <c r="F3" s="22">
        <f>46210+20</f>
        <v>46230</v>
      </c>
      <c r="G3" s="4">
        <f>47743</f>
        <v>47743</v>
      </c>
      <c r="H3" s="4">
        <f>2+38677</f>
        <v>38679</v>
      </c>
      <c r="I3" s="4">
        <f>45726+3</f>
        <v>45729</v>
      </c>
      <c r="J3" s="4">
        <v>47166</v>
      </c>
      <c r="K3" s="4">
        <f>31065</f>
        <v>31065</v>
      </c>
      <c r="L3" s="4">
        <f>36790+43</f>
        <v>36833</v>
      </c>
      <c r="M3" s="4">
        <v>42756</v>
      </c>
      <c r="N3" s="4">
        <v>41455</v>
      </c>
      <c r="O3" s="4">
        <v>51227</v>
      </c>
      <c r="P3" s="11">
        <f t="shared" ref="P3:P18" si="0">SUM(D3:O3)</f>
        <v>511161</v>
      </c>
    </row>
    <row r="4" spans="1:16" ht="19.899999999999999" customHeight="1" x14ac:dyDescent="0.15">
      <c r="A4" s="200"/>
      <c r="B4" s="205"/>
      <c r="C4" s="53" t="s">
        <v>17</v>
      </c>
      <c r="D4" s="18">
        <v>1906</v>
      </c>
      <c r="E4" s="22">
        <v>3826</v>
      </c>
      <c r="F4" s="22">
        <f>198+2746</f>
        <v>2944</v>
      </c>
      <c r="G4" s="4">
        <f>360+4670</f>
        <v>5030</v>
      </c>
      <c r="H4" s="4">
        <f>204+3138</f>
        <v>3342</v>
      </c>
      <c r="I4" s="4">
        <f>3139+8+389</f>
        <v>3536</v>
      </c>
      <c r="J4" s="4">
        <f>3196+793</f>
        <v>3989</v>
      </c>
      <c r="K4" s="4">
        <f>1975+720</f>
        <v>2695</v>
      </c>
      <c r="L4" s="4">
        <f>1986+387</f>
        <v>2373</v>
      </c>
      <c r="M4" s="4">
        <f>5151+60</f>
        <v>5211</v>
      </c>
      <c r="N4" s="4">
        <f>862+2131</f>
        <v>2993</v>
      </c>
      <c r="O4" s="4">
        <f>916+2996</f>
        <v>3912</v>
      </c>
      <c r="P4" s="11">
        <f t="shared" si="0"/>
        <v>41757</v>
      </c>
    </row>
    <row r="5" spans="1:16" ht="19.899999999999999" customHeight="1" x14ac:dyDescent="0.15">
      <c r="A5" s="200"/>
      <c r="B5" s="205"/>
      <c r="C5" s="53" t="s">
        <v>18</v>
      </c>
      <c r="D5" s="18">
        <v>2758</v>
      </c>
      <c r="E5" s="22">
        <v>470</v>
      </c>
      <c r="F5" s="22">
        <v>2249</v>
      </c>
      <c r="G5" s="4">
        <f>1480</f>
        <v>1480</v>
      </c>
      <c r="H5" s="4">
        <f>2180</f>
        <v>2180</v>
      </c>
      <c r="I5" s="4">
        <v>2513</v>
      </c>
      <c r="J5" s="4">
        <f>2895</f>
        <v>2895</v>
      </c>
      <c r="K5" s="4">
        <v>3175</v>
      </c>
      <c r="L5" s="4">
        <f>1491</f>
        <v>1491</v>
      </c>
      <c r="M5" s="4">
        <v>2409</v>
      </c>
      <c r="N5" s="4">
        <f>1497</f>
        <v>1497</v>
      </c>
      <c r="O5" s="4">
        <v>3134</v>
      </c>
      <c r="P5" s="11">
        <f t="shared" si="0"/>
        <v>26251</v>
      </c>
    </row>
    <row r="6" spans="1:16" ht="19.899999999999999" customHeight="1" x14ac:dyDescent="0.15">
      <c r="A6" s="200"/>
      <c r="B6" s="205"/>
      <c r="C6" s="53" t="s">
        <v>118</v>
      </c>
      <c r="D6" s="42"/>
      <c r="E6" s="22"/>
      <c r="F6" s="22"/>
      <c r="G6" s="42"/>
      <c r="H6" s="42"/>
      <c r="I6" s="42"/>
      <c r="J6" s="42">
        <v>333</v>
      </c>
      <c r="K6" s="42">
        <v>250</v>
      </c>
      <c r="L6" s="42"/>
      <c r="M6" s="4"/>
      <c r="N6" s="42"/>
      <c r="O6" s="42"/>
      <c r="P6" s="11">
        <f t="shared" si="0"/>
        <v>583</v>
      </c>
    </row>
    <row r="7" spans="1:16" ht="19.899999999999999" customHeight="1" x14ac:dyDescent="0.15">
      <c r="A7" s="200"/>
      <c r="B7" s="205"/>
      <c r="C7" s="53" t="s">
        <v>119</v>
      </c>
      <c r="D7" s="42"/>
      <c r="E7" s="22"/>
      <c r="F7" s="22"/>
      <c r="G7" s="42"/>
      <c r="H7" s="42"/>
      <c r="I7" s="42"/>
      <c r="J7" s="42"/>
      <c r="K7" s="42"/>
      <c r="L7" s="42"/>
      <c r="M7" s="42"/>
      <c r="N7" s="42"/>
      <c r="O7" s="42"/>
      <c r="P7" s="11">
        <f t="shared" si="0"/>
        <v>0</v>
      </c>
    </row>
    <row r="8" spans="1:16" ht="19.899999999999999" customHeight="1" x14ac:dyDescent="0.15">
      <c r="A8" s="200"/>
      <c r="B8" s="205"/>
      <c r="C8" s="53" t="s">
        <v>19</v>
      </c>
      <c r="D8" s="18">
        <v>103</v>
      </c>
      <c r="E8" s="22">
        <v>104</v>
      </c>
      <c r="F8" s="22">
        <v>338</v>
      </c>
      <c r="G8" s="4">
        <f>901+1</f>
        <v>902</v>
      </c>
      <c r="H8" s="4">
        <f>86+672</f>
        <v>758</v>
      </c>
      <c r="I8" s="4">
        <f>7+158</f>
        <v>165</v>
      </c>
      <c r="J8" s="4">
        <f>21+58</f>
        <v>79</v>
      </c>
      <c r="K8" s="4">
        <f>35+8</f>
        <v>43</v>
      </c>
      <c r="L8" s="4">
        <v>17</v>
      </c>
      <c r="M8" s="4">
        <f>13+8</f>
        <v>21</v>
      </c>
      <c r="N8" s="4">
        <f>40+48</f>
        <v>88</v>
      </c>
      <c r="O8" s="4">
        <f>421+16</f>
        <v>437</v>
      </c>
      <c r="P8" s="11">
        <f t="shared" si="0"/>
        <v>3055</v>
      </c>
    </row>
    <row r="9" spans="1:16" ht="19.899999999999999" customHeight="1" x14ac:dyDescent="0.15">
      <c r="A9" s="200"/>
      <c r="B9" s="205"/>
      <c r="C9" s="3" t="s">
        <v>22</v>
      </c>
      <c r="D9" s="5">
        <f t="shared" ref="D9:O9" si="1">SUM(D3:D8)</f>
        <v>46344</v>
      </c>
      <c r="E9" s="5">
        <f t="shared" si="1"/>
        <v>45101</v>
      </c>
      <c r="F9" s="5">
        <f t="shared" si="1"/>
        <v>51761</v>
      </c>
      <c r="G9" s="5">
        <f t="shared" si="1"/>
        <v>55155</v>
      </c>
      <c r="H9" s="5">
        <f t="shared" si="1"/>
        <v>44959</v>
      </c>
      <c r="I9" s="5">
        <f t="shared" si="1"/>
        <v>51943</v>
      </c>
      <c r="J9" s="5">
        <f t="shared" si="1"/>
        <v>54462</v>
      </c>
      <c r="K9" s="5">
        <f t="shared" si="1"/>
        <v>37228</v>
      </c>
      <c r="L9" s="5">
        <f t="shared" si="1"/>
        <v>40714</v>
      </c>
      <c r="M9" s="5">
        <f t="shared" si="1"/>
        <v>50397</v>
      </c>
      <c r="N9" s="5">
        <f t="shared" si="1"/>
        <v>46033</v>
      </c>
      <c r="O9" s="5">
        <f t="shared" si="1"/>
        <v>58710</v>
      </c>
      <c r="P9" s="11">
        <f t="shared" si="0"/>
        <v>582807</v>
      </c>
    </row>
    <row r="10" spans="1:16" ht="19.899999999999999" customHeight="1" x14ac:dyDescent="0.15">
      <c r="A10" s="200"/>
      <c r="B10" s="211" t="s">
        <v>123</v>
      </c>
      <c r="C10" s="15" t="s">
        <v>120</v>
      </c>
      <c r="D10" s="18">
        <v>28</v>
      </c>
      <c r="E10" s="22">
        <v>42</v>
      </c>
      <c r="F10" s="22">
        <v>32</v>
      </c>
      <c r="G10" s="18">
        <f>31</f>
        <v>31</v>
      </c>
      <c r="H10" s="41">
        <v>12</v>
      </c>
      <c r="I10" s="18">
        <v>6</v>
      </c>
      <c r="J10" s="56">
        <v>22</v>
      </c>
      <c r="K10" s="18">
        <v>9</v>
      </c>
      <c r="L10" s="18">
        <v>20</v>
      </c>
      <c r="M10" s="18">
        <f>44</f>
        <v>44</v>
      </c>
      <c r="N10" s="18">
        <v>24</v>
      </c>
      <c r="O10" s="41">
        <v>20</v>
      </c>
      <c r="P10" s="11">
        <f t="shared" si="0"/>
        <v>290</v>
      </c>
    </row>
    <row r="11" spans="1:16" ht="19.899999999999999" customHeight="1" x14ac:dyDescent="0.15">
      <c r="A11" s="200"/>
      <c r="B11" s="212"/>
      <c r="C11" s="15" t="s">
        <v>17</v>
      </c>
      <c r="D11" s="18">
        <v>30</v>
      </c>
      <c r="E11" s="22">
        <v>18</v>
      </c>
      <c r="F11" s="22">
        <f>13+184</f>
        <v>197</v>
      </c>
      <c r="G11" s="18">
        <f>2+19</f>
        <v>21</v>
      </c>
      <c r="H11" s="18">
        <f>140+8</f>
        <v>148</v>
      </c>
      <c r="I11" s="18">
        <v>3</v>
      </c>
      <c r="J11" s="56">
        <v>8</v>
      </c>
      <c r="K11" s="18">
        <f>17+24</f>
        <v>41</v>
      </c>
      <c r="L11" s="18">
        <f>1+30</f>
        <v>31</v>
      </c>
      <c r="M11" s="18">
        <v>48</v>
      </c>
      <c r="N11" s="18">
        <v>45</v>
      </c>
      <c r="O11" s="18">
        <v>9</v>
      </c>
      <c r="P11" s="11">
        <f t="shared" si="0"/>
        <v>599</v>
      </c>
    </row>
    <row r="12" spans="1:16" ht="19.899999999999999" customHeight="1" x14ac:dyDescent="0.15">
      <c r="A12" s="200"/>
      <c r="B12" s="212"/>
      <c r="C12" s="15" t="s">
        <v>132</v>
      </c>
      <c r="D12" s="18"/>
      <c r="E12" s="22"/>
      <c r="F12" s="22"/>
      <c r="G12" s="18">
        <f>8</f>
        <v>8</v>
      </c>
      <c r="H12" s="41">
        <f>5</f>
        <v>5</v>
      </c>
      <c r="I12" s="18"/>
      <c r="J12" s="57"/>
      <c r="K12" s="41">
        <v>13</v>
      </c>
      <c r="L12" s="41">
        <f>37+1</f>
        <v>38</v>
      </c>
      <c r="M12" s="18"/>
      <c r="N12" s="41">
        <v>16</v>
      </c>
      <c r="O12" s="18">
        <f>15+12</f>
        <v>27</v>
      </c>
      <c r="P12" s="11">
        <f t="shared" si="0"/>
        <v>107</v>
      </c>
    </row>
    <row r="13" spans="1:16" ht="19.899999999999999" customHeight="1" x14ac:dyDescent="0.15">
      <c r="A13" s="200"/>
      <c r="B13" s="212"/>
      <c r="C13" s="15" t="s">
        <v>138</v>
      </c>
      <c r="D13" s="18">
        <v>329</v>
      </c>
      <c r="E13" s="22">
        <v>119</v>
      </c>
      <c r="F13" s="22">
        <v>154</v>
      </c>
      <c r="G13" s="18">
        <f>256+4</f>
        <v>260</v>
      </c>
      <c r="H13" s="18">
        <f>3+263</f>
        <v>266</v>
      </c>
      <c r="I13" s="18">
        <v>214</v>
      </c>
      <c r="J13" s="56">
        <v>180</v>
      </c>
      <c r="K13" s="18">
        <f>2+244</f>
        <v>246</v>
      </c>
      <c r="L13" s="18">
        <f>77</f>
        <v>77</v>
      </c>
      <c r="M13" s="18">
        <v>39</v>
      </c>
      <c r="N13" s="18">
        <v>71</v>
      </c>
      <c r="O13" s="18">
        <v>59</v>
      </c>
      <c r="P13" s="11">
        <f t="shared" si="0"/>
        <v>2014</v>
      </c>
    </row>
    <row r="14" spans="1:16" ht="19.899999999999999" customHeight="1" x14ac:dyDescent="0.15">
      <c r="A14" s="200"/>
      <c r="B14" s="212"/>
      <c r="C14" s="15" t="s">
        <v>137</v>
      </c>
      <c r="D14" s="18">
        <v>83</v>
      </c>
      <c r="E14" s="22">
        <v>59</v>
      </c>
      <c r="F14" s="22">
        <v>29</v>
      </c>
      <c r="G14" s="18">
        <f>81+34</f>
        <v>115</v>
      </c>
      <c r="H14" s="18">
        <f>34+44</f>
        <v>78</v>
      </c>
      <c r="I14" s="18">
        <f>45+53</f>
        <v>98</v>
      </c>
      <c r="J14" s="56">
        <v>46</v>
      </c>
      <c r="K14" s="18">
        <f>1+50</f>
        <v>51</v>
      </c>
      <c r="L14" s="18">
        <f>37+14</f>
        <v>51</v>
      </c>
      <c r="M14" s="18">
        <f>25+32</f>
        <v>57</v>
      </c>
      <c r="N14" s="18">
        <f>17+47</f>
        <v>64</v>
      </c>
      <c r="O14" s="18">
        <f>15+4</f>
        <v>19</v>
      </c>
      <c r="P14" s="11">
        <f t="shared" si="0"/>
        <v>750</v>
      </c>
    </row>
    <row r="15" spans="1:16" ht="19.899999999999999" customHeight="1" x14ac:dyDescent="0.15">
      <c r="A15" s="200"/>
      <c r="B15" s="212"/>
      <c r="C15" s="15" t="s">
        <v>19</v>
      </c>
      <c r="D15" s="41"/>
      <c r="E15" s="22">
        <v>4</v>
      </c>
      <c r="F15" s="22">
        <v>1</v>
      </c>
      <c r="G15" s="18"/>
      <c r="H15" s="41">
        <v>20</v>
      </c>
      <c r="I15" s="18">
        <f>16</f>
        <v>16</v>
      </c>
      <c r="J15" s="56"/>
      <c r="K15" s="18"/>
      <c r="L15" s="18">
        <v>4</v>
      </c>
      <c r="M15" s="18">
        <v>7</v>
      </c>
      <c r="N15" s="18">
        <v>2</v>
      </c>
      <c r="O15" s="18">
        <v>60</v>
      </c>
      <c r="P15" s="11">
        <f t="shared" si="0"/>
        <v>114</v>
      </c>
    </row>
    <row r="16" spans="1:16" ht="19.899999999999999" customHeight="1" x14ac:dyDescent="0.15">
      <c r="A16" s="200"/>
      <c r="B16" s="213"/>
      <c r="C16" s="3" t="s">
        <v>22</v>
      </c>
      <c r="D16" s="5">
        <f t="shared" ref="D16:O16" si="2">SUM(D10:D15)</f>
        <v>470</v>
      </c>
      <c r="E16" s="5">
        <f t="shared" si="2"/>
        <v>242</v>
      </c>
      <c r="F16" s="5">
        <f t="shared" si="2"/>
        <v>413</v>
      </c>
      <c r="G16" s="40">
        <f t="shared" si="2"/>
        <v>435</v>
      </c>
      <c r="H16" s="5">
        <f t="shared" si="2"/>
        <v>529</v>
      </c>
      <c r="I16" s="5">
        <f t="shared" si="2"/>
        <v>337</v>
      </c>
      <c r="J16" s="5">
        <f t="shared" si="2"/>
        <v>256</v>
      </c>
      <c r="K16" s="5">
        <f t="shared" si="2"/>
        <v>360</v>
      </c>
      <c r="L16" s="5">
        <f t="shared" si="2"/>
        <v>221</v>
      </c>
      <c r="M16" s="5">
        <f t="shared" si="2"/>
        <v>195</v>
      </c>
      <c r="N16" s="5">
        <f t="shared" si="2"/>
        <v>222</v>
      </c>
      <c r="O16" s="5">
        <f t="shared" si="2"/>
        <v>194</v>
      </c>
      <c r="P16" s="11">
        <f t="shared" si="0"/>
        <v>3874</v>
      </c>
    </row>
    <row r="17" spans="1:16" ht="19.5" customHeight="1" x14ac:dyDescent="0.15">
      <c r="A17" s="200"/>
      <c r="B17" s="214" t="s">
        <v>153</v>
      </c>
      <c r="C17" s="215"/>
      <c r="D17" s="18">
        <v>1896</v>
      </c>
      <c r="E17" s="22">
        <v>804</v>
      </c>
      <c r="F17" s="22">
        <v>1019</v>
      </c>
      <c r="G17" s="41">
        <f>1428+76</f>
        <v>1504</v>
      </c>
      <c r="H17" s="18">
        <v>1738</v>
      </c>
      <c r="I17" s="18">
        <f>7+1247</f>
        <v>1254</v>
      </c>
      <c r="J17" s="59">
        <v>506</v>
      </c>
      <c r="K17" s="18">
        <f>60+1214</f>
        <v>1274</v>
      </c>
      <c r="L17" s="18">
        <f>522+24</f>
        <v>546</v>
      </c>
      <c r="M17" s="18">
        <v>292</v>
      </c>
      <c r="N17" s="18">
        <v>420</v>
      </c>
      <c r="O17" s="18">
        <v>287</v>
      </c>
      <c r="P17" s="11">
        <f t="shared" si="0"/>
        <v>11540</v>
      </c>
    </row>
    <row r="18" spans="1:16" ht="19.899999999999999" customHeight="1" x14ac:dyDescent="0.15">
      <c r="A18" s="200"/>
      <c r="B18" s="205" t="s">
        <v>127</v>
      </c>
      <c r="C18" s="205"/>
      <c r="D18" s="18">
        <v>606</v>
      </c>
      <c r="E18" s="22">
        <v>111</v>
      </c>
      <c r="F18" s="22">
        <f>154+47</f>
        <v>201</v>
      </c>
      <c r="G18" s="42">
        <f>93+94</f>
        <v>187</v>
      </c>
      <c r="H18" s="4">
        <f>21+93</f>
        <v>114</v>
      </c>
      <c r="I18" s="4">
        <f>258+452</f>
        <v>710</v>
      </c>
      <c r="J18" s="58">
        <v>330</v>
      </c>
      <c r="K18" s="4">
        <f>49+219</f>
        <v>268</v>
      </c>
      <c r="L18" s="4">
        <f>101+46</f>
        <v>147</v>
      </c>
      <c r="M18" s="4">
        <f>89+198</f>
        <v>287</v>
      </c>
      <c r="N18" s="4">
        <f>60+197</f>
        <v>257</v>
      </c>
      <c r="O18" s="4">
        <f>44+122</f>
        <v>166</v>
      </c>
      <c r="P18" s="11">
        <f t="shared" si="0"/>
        <v>3384</v>
      </c>
    </row>
    <row r="19" spans="1:16" ht="26.45" customHeight="1" x14ac:dyDescent="0.15">
      <c r="A19" s="200"/>
      <c r="B19" s="199" t="s">
        <v>39</v>
      </c>
      <c r="C19" s="199"/>
      <c r="D19" s="6">
        <f t="shared" ref="D19:O19" si="3">D9+D18+D16+D17</f>
        <v>49316</v>
      </c>
      <c r="E19" s="6">
        <f t="shared" si="3"/>
        <v>46258</v>
      </c>
      <c r="F19" s="6">
        <f t="shared" si="3"/>
        <v>53394</v>
      </c>
      <c r="G19" s="43">
        <f t="shared" si="3"/>
        <v>57281</v>
      </c>
      <c r="H19" s="6">
        <f t="shared" si="3"/>
        <v>47340</v>
      </c>
      <c r="I19" s="6">
        <f t="shared" si="3"/>
        <v>54244</v>
      </c>
      <c r="J19" s="6">
        <f t="shared" si="3"/>
        <v>55554</v>
      </c>
      <c r="K19" s="6">
        <f t="shared" si="3"/>
        <v>39130</v>
      </c>
      <c r="L19" s="6">
        <f t="shared" si="3"/>
        <v>41628</v>
      </c>
      <c r="M19" s="6">
        <f t="shared" si="3"/>
        <v>51171</v>
      </c>
      <c r="N19" s="6">
        <f>N9+N18+N16+N17</f>
        <v>46932</v>
      </c>
      <c r="O19" s="6">
        <f t="shared" si="3"/>
        <v>59357</v>
      </c>
      <c r="P19" s="13">
        <f t="shared" ref="P19:P29" si="4">SUM(D19:O19)</f>
        <v>601605</v>
      </c>
    </row>
    <row r="20" spans="1:16" ht="19.5" customHeight="1" x14ac:dyDescent="0.15">
      <c r="A20" s="200" t="s">
        <v>21</v>
      </c>
      <c r="B20" s="211" t="s">
        <v>125</v>
      </c>
      <c r="C20" s="53" t="s">
        <v>25</v>
      </c>
      <c r="D20" s="4">
        <v>3625</v>
      </c>
      <c r="E20" s="22">
        <v>4306</v>
      </c>
      <c r="F20" s="22">
        <f>4082+4565</f>
        <v>8647</v>
      </c>
      <c r="G20" s="42">
        <f>1939+6009</f>
        <v>7948</v>
      </c>
      <c r="H20" s="4">
        <f>4108+3109</f>
        <v>7217</v>
      </c>
      <c r="I20" s="4">
        <f>7174+2588</f>
        <v>9762</v>
      </c>
      <c r="J20" s="60">
        <v>5453</v>
      </c>
      <c r="K20" s="4">
        <f>2834</f>
        <v>2834</v>
      </c>
      <c r="L20" s="4">
        <f>2344+2633</f>
        <v>4977</v>
      </c>
      <c r="M20" s="4">
        <f>2146+3369</f>
        <v>5515</v>
      </c>
      <c r="N20" s="4">
        <f>1393+3734</f>
        <v>5127</v>
      </c>
      <c r="O20" s="4">
        <f>1579+3961</f>
        <v>5540</v>
      </c>
      <c r="P20" s="11">
        <f t="shared" si="4"/>
        <v>70951</v>
      </c>
    </row>
    <row r="21" spans="1:16" ht="20.100000000000001" customHeight="1" x14ac:dyDescent="0.15">
      <c r="A21" s="201"/>
      <c r="B21" s="212"/>
      <c r="C21" s="53" t="s">
        <v>26</v>
      </c>
      <c r="D21" s="4">
        <v>8940</v>
      </c>
      <c r="E21" s="22">
        <v>4118</v>
      </c>
      <c r="F21" s="22">
        <f>6660+277</f>
        <v>6937</v>
      </c>
      <c r="G21" s="42">
        <f>7928+648</f>
        <v>8576</v>
      </c>
      <c r="H21" s="4">
        <f>349+5129</f>
        <v>5478</v>
      </c>
      <c r="I21" s="4">
        <f>221+3455</f>
        <v>3676</v>
      </c>
      <c r="J21" s="60">
        <v>7071</v>
      </c>
      <c r="K21" s="4">
        <f>118+5952</f>
        <v>6070</v>
      </c>
      <c r="L21" s="4">
        <f>3459</f>
        <v>3459</v>
      </c>
      <c r="M21" s="4">
        <f>2703+423</f>
        <v>3126</v>
      </c>
      <c r="N21" s="4">
        <f>4557+283</f>
        <v>4840</v>
      </c>
      <c r="O21" s="4">
        <f>6259+1043</f>
        <v>7302</v>
      </c>
      <c r="P21" s="11">
        <f t="shared" si="4"/>
        <v>69593</v>
      </c>
    </row>
    <row r="22" spans="1:16" ht="20.100000000000001" customHeight="1" x14ac:dyDescent="0.15">
      <c r="A22" s="201"/>
      <c r="B22" s="212"/>
      <c r="C22" s="53" t="s">
        <v>23</v>
      </c>
      <c r="D22" s="42">
        <v>2297</v>
      </c>
      <c r="E22" s="22">
        <v>830</v>
      </c>
      <c r="F22" s="22">
        <v>501</v>
      </c>
      <c r="G22" s="42">
        <f>1674</f>
        <v>1674</v>
      </c>
      <c r="H22" s="42">
        <f>168+1549</f>
        <v>1717</v>
      </c>
      <c r="I22" s="42">
        <f>351+1547</f>
        <v>1898</v>
      </c>
      <c r="J22" s="61">
        <v>1118</v>
      </c>
      <c r="K22" s="4">
        <f>436+1249</f>
        <v>1685</v>
      </c>
      <c r="L22" s="4">
        <f>811+219</f>
        <v>1030</v>
      </c>
      <c r="M22" s="4">
        <f>555+135</f>
        <v>690</v>
      </c>
      <c r="N22" s="4">
        <f>843+56</f>
        <v>899</v>
      </c>
      <c r="O22" s="4">
        <f>1375+188</f>
        <v>1563</v>
      </c>
      <c r="P22" s="11">
        <f t="shared" si="4"/>
        <v>15902</v>
      </c>
    </row>
    <row r="23" spans="1:16" ht="20.100000000000001" customHeight="1" x14ac:dyDescent="0.15">
      <c r="A23" s="201"/>
      <c r="B23" s="212"/>
      <c r="C23" s="53" t="s">
        <v>24</v>
      </c>
      <c r="D23" s="4">
        <v>839</v>
      </c>
      <c r="E23" s="22">
        <v>333</v>
      </c>
      <c r="F23" s="22"/>
      <c r="G23" s="42">
        <f>1112</f>
        <v>1112</v>
      </c>
      <c r="H23" s="4">
        <f>462+234</f>
        <v>696</v>
      </c>
      <c r="I23" s="4">
        <f>387+30</f>
        <v>417</v>
      </c>
      <c r="J23" s="60">
        <v>1769</v>
      </c>
      <c r="K23" s="42">
        <f>363+6</f>
        <v>369</v>
      </c>
      <c r="L23" s="42">
        <f>210+863</f>
        <v>1073</v>
      </c>
      <c r="M23" s="4">
        <f>515+748</f>
        <v>1263</v>
      </c>
      <c r="N23" s="4">
        <f>582+396</f>
        <v>978</v>
      </c>
      <c r="O23" s="4">
        <f>1954+68</f>
        <v>2022</v>
      </c>
      <c r="P23" s="11">
        <f t="shared" si="4"/>
        <v>10871</v>
      </c>
    </row>
    <row r="24" spans="1:16" ht="20.100000000000001" customHeight="1" x14ac:dyDescent="0.15">
      <c r="A24" s="201"/>
      <c r="B24" s="212"/>
      <c r="C24" s="53" t="s">
        <v>28</v>
      </c>
      <c r="D24" s="4">
        <v>927</v>
      </c>
      <c r="E24" s="22">
        <v>22</v>
      </c>
      <c r="F24" s="22">
        <f>251+1437</f>
        <v>1688</v>
      </c>
      <c r="G24" s="42">
        <v>945</v>
      </c>
      <c r="H24" s="4">
        <f>576+105</f>
        <v>681</v>
      </c>
      <c r="I24" s="4">
        <f>322+138</f>
        <v>460</v>
      </c>
      <c r="J24" s="60">
        <v>143</v>
      </c>
      <c r="K24" s="4">
        <f>499+120</f>
        <v>619</v>
      </c>
      <c r="L24" s="4">
        <v>743</v>
      </c>
      <c r="M24" s="4">
        <v>1010</v>
      </c>
      <c r="N24" s="4">
        <f>99+1319</f>
        <v>1418</v>
      </c>
      <c r="O24" s="4">
        <f>76+658</f>
        <v>734</v>
      </c>
      <c r="P24" s="11">
        <f t="shared" si="4"/>
        <v>9390</v>
      </c>
    </row>
    <row r="25" spans="1:16" ht="20.100000000000001" customHeight="1" x14ac:dyDescent="0.15">
      <c r="A25" s="201"/>
      <c r="B25" s="212"/>
      <c r="C25" s="53" t="s">
        <v>29</v>
      </c>
      <c r="D25" s="4">
        <v>6</v>
      </c>
      <c r="E25" s="22">
        <v>3</v>
      </c>
      <c r="F25" s="22">
        <v>15</v>
      </c>
      <c r="G25" s="42">
        <v>10</v>
      </c>
      <c r="H25" s="42">
        <v>19</v>
      </c>
      <c r="I25" s="4">
        <v>14</v>
      </c>
      <c r="J25" s="60">
        <v>15</v>
      </c>
      <c r="K25" s="4">
        <v>22</v>
      </c>
      <c r="L25" s="4">
        <f>13</f>
        <v>13</v>
      </c>
      <c r="M25" s="4">
        <v>3</v>
      </c>
      <c r="N25" s="4">
        <v>12</v>
      </c>
      <c r="O25" s="4">
        <v>17</v>
      </c>
      <c r="P25" s="11">
        <f t="shared" si="4"/>
        <v>149</v>
      </c>
    </row>
    <row r="26" spans="1:16" ht="20.100000000000001" customHeight="1" x14ac:dyDescent="0.15">
      <c r="A26" s="201"/>
      <c r="B26" s="212"/>
      <c r="C26" s="53" t="s">
        <v>30</v>
      </c>
      <c r="D26" s="4">
        <v>63</v>
      </c>
      <c r="E26" s="22">
        <v>14</v>
      </c>
      <c r="F26" s="22">
        <v>166</v>
      </c>
      <c r="G26" s="42">
        <v>61</v>
      </c>
      <c r="H26" s="4">
        <v>79</v>
      </c>
      <c r="I26" s="4">
        <v>371</v>
      </c>
      <c r="J26" s="60">
        <v>309</v>
      </c>
      <c r="K26" s="4">
        <v>256</v>
      </c>
      <c r="L26" s="4">
        <v>252</v>
      </c>
      <c r="M26" s="4">
        <f>690</f>
        <v>690</v>
      </c>
      <c r="N26" s="4">
        <v>255</v>
      </c>
      <c r="O26" s="4">
        <v>314</v>
      </c>
      <c r="P26" s="11">
        <f t="shared" si="4"/>
        <v>2830</v>
      </c>
    </row>
    <row r="27" spans="1:16" ht="20.100000000000001" customHeight="1" x14ac:dyDescent="0.15">
      <c r="A27" s="201"/>
      <c r="B27" s="212"/>
      <c r="C27" s="53" t="s">
        <v>34</v>
      </c>
      <c r="D27" s="4"/>
      <c r="E27" s="22"/>
      <c r="F27" s="22"/>
      <c r="G27" s="42"/>
      <c r="H27" s="42"/>
      <c r="I27" s="42"/>
      <c r="J27" s="63"/>
      <c r="K27" s="55"/>
      <c r="L27" s="55"/>
      <c r="M27" s="55"/>
      <c r="N27" s="42"/>
      <c r="O27" s="4"/>
      <c r="P27" s="11">
        <f t="shared" si="4"/>
        <v>0</v>
      </c>
    </row>
    <row r="28" spans="1:16" ht="20.100000000000001" customHeight="1" x14ac:dyDescent="0.15">
      <c r="A28" s="201"/>
      <c r="B28" s="212"/>
      <c r="C28" s="53" t="s">
        <v>33</v>
      </c>
      <c r="D28" s="4">
        <v>2143</v>
      </c>
      <c r="E28" s="22">
        <v>745</v>
      </c>
      <c r="F28" s="22">
        <v>925</v>
      </c>
      <c r="G28" s="42">
        <v>891</v>
      </c>
      <c r="H28" s="4">
        <v>578</v>
      </c>
      <c r="I28" s="4">
        <v>678</v>
      </c>
      <c r="J28" s="60">
        <v>607</v>
      </c>
      <c r="K28" s="4">
        <v>502</v>
      </c>
      <c r="L28" s="42">
        <f>760</f>
        <v>760</v>
      </c>
      <c r="M28" s="4">
        <v>69</v>
      </c>
      <c r="N28" s="4">
        <v>159</v>
      </c>
      <c r="O28" s="4">
        <v>824</v>
      </c>
      <c r="P28" s="11">
        <f t="shared" si="4"/>
        <v>8881</v>
      </c>
    </row>
    <row r="29" spans="1:16" ht="20.100000000000001" customHeight="1" x14ac:dyDescent="0.15">
      <c r="A29" s="201"/>
      <c r="B29" s="212"/>
      <c r="C29" s="53" t="s">
        <v>31</v>
      </c>
      <c r="D29" s="4">
        <v>1277</v>
      </c>
      <c r="E29" s="22">
        <v>794</v>
      </c>
      <c r="F29" s="22">
        <v>1250</v>
      </c>
      <c r="G29" s="42">
        <v>1055</v>
      </c>
      <c r="H29" s="4">
        <v>1463</v>
      </c>
      <c r="I29" s="4">
        <v>1383</v>
      </c>
      <c r="J29" s="60">
        <v>1453</v>
      </c>
      <c r="K29" s="4">
        <v>327</v>
      </c>
      <c r="L29" s="4">
        <f>1208</f>
        <v>1208</v>
      </c>
      <c r="M29" s="4">
        <v>1004</v>
      </c>
      <c r="N29" s="4">
        <v>850</v>
      </c>
      <c r="O29" s="4">
        <v>745</v>
      </c>
      <c r="P29" s="11">
        <f t="shared" si="4"/>
        <v>12809</v>
      </c>
    </row>
    <row r="30" spans="1:16" ht="20.100000000000001" customHeight="1" x14ac:dyDescent="0.15">
      <c r="A30" s="201"/>
      <c r="B30" s="212"/>
      <c r="C30" s="53" t="s">
        <v>154</v>
      </c>
      <c r="D30" s="4">
        <v>600</v>
      </c>
      <c r="E30" s="22">
        <v>790</v>
      </c>
      <c r="F30" s="22">
        <v>1329</v>
      </c>
      <c r="G30" s="42">
        <v>1555</v>
      </c>
      <c r="H30" s="4">
        <v>1537</v>
      </c>
      <c r="I30" s="4">
        <v>2316</v>
      </c>
      <c r="J30" s="60">
        <v>935</v>
      </c>
      <c r="K30" s="4">
        <v>799</v>
      </c>
      <c r="L30" s="4">
        <f>727</f>
        <v>727</v>
      </c>
      <c r="M30" s="4">
        <f>667+157</f>
        <v>824</v>
      </c>
      <c r="N30" s="4">
        <f>1210+41</f>
        <v>1251</v>
      </c>
      <c r="O30" s="4">
        <v>1292</v>
      </c>
      <c r="P30" s="11">
        <f t="shared" ref="P30:P47" si="5">SUM(D30:O30)</f>
        <v>13955</v>
      </c>
    </row>
    <row r="31" spans="1:16" ht="20.100000000000001" customHeight="1" x14ac:dyDescent="0.15">
      <c r="A31" s="201"/>
      <c r="B31" s="212"/>
      <c r="C31" s="53" t="s">
        <v>27</v>
      </c>
      <c r="D31" s="4">
        <v>1179</v>
      </c>
      <c r="E31" s="22">
        <v>1054</v>
      </c>
      <c r="F31" s="22">
        <v>966</v>
      </c>
      <c r="G31" s="42">
        <v>1313</v>
      </c>
      <c r="H31" s="4">
        <v>846</v>
      </c>
      <c r="I31" s="4">
        <v>447</v>
      </c>
      <c r="J31" s="60">
        <v>385</v>
      </c>
      <c r="K31" s="4">
        <v>159</v>
      </c>
      <c r="L31" s="4">
        <f>806</f>
        <v>806</v>
      </c>
      <c r="M31" s="4">
        <v>813</v>
      </c>
      <c r="N31" s="4">
        <v>941</v>
      </c>
      <c r="O31" s="4">
        <v>806</v>
      </c>
      <c r="P31" s="11">
        <f t="shared" si="5"/>
        <v>9715</v>
      </c>
    </row>
    <row r="32" spans="1:16" ht="20.100000000000001" customHeight="1" x14ac:dyDescent="0.15">
      <c r="A32" s="201"/>
      <c r="B32" s="212"/>
      <c r="C32" s="53" t="s">
        <v>32</v>
      </c>
      <c r="D32" s="4">
        <v>346</v>
      </c>
      <c r="E32" s="22">
        <v>212</v>
      </c>
      <c r="F32" s="22">
        <v>66</v>
      </c>
      <c r="G32" s="42">
        <v>568</v>
      </c>
      <c r="H32" s="4">
        <v>334</v>
      </c>
      <c r="I32" s="4">
        <v>283</v>
      </c>
      <c r="J32" s="60">
        <v>103</v>
      </c>
      <c r="K32" s="4">
        <v>3</v>
      </c>
      <c r="L32" s="4">
        <f>12</f>
        <v>12</v>
      </c>
      <c r="M32" s="4">
        <v>13</v>
      </c>
      <c r="N32" s="4">
        <v>59</v>
      </c>
      <c r="O32" s="4">
        <v>413</v>
      </c>
      <c r="P32" s="11">
        <f t="shared" si="5"/>
        <v>2412</v>
      </c>
    </row>
    <row r="33" spans="1:16" ht="20.100000000000001" customHeight="1" x14ac:dyDescent="0.15">
      <c r="A33" s="201"/>
      <c r="B33" s="212"/>
      <c r="C33" s="53" t="s">
        <v>50</v>
      </c>
      <c r="D33" s="4">
        <v>70</v>
      </c>
      <c r="E33" s="22">
        <v>21</v>
      </c>
      <c r="F33" s="22">
        <v>42</v>
      </c>
      <c r="G33" s="42">
        <v>72</v>
      </c>
      <c r="H33" s="4">
        <f>43</f>
        <v>43</v>
      </c>
      <c r="I33" s="42">
        <v>66</v>
      </c>
      <c r="J33" s="61">
        <v>118</v>
      </c>
      <c r="K33" s="42">
        <f>47</f>
        <v>47</v>
      </c>
      <c r="L33" s="42">
        <v>47</v>
      </c>
      <c r="M33" s="42">
        <v>20</v>
      </c>
      <c r="N33" s="42">
        <v>9</v>
      </c>
      <c r="O33" s="42">
        <v>18</v>
      </c>
      <c r="P33" s="11">
        <f t="shared" si="5"/>
        <v>573</v>
      </c>
    </row>
    <row r="34" spans="1:16" ht="20.100000000000001" customHeight="1" x14ac:dyDescent="0.15">
      <c r="A34" s="201"/>
      <c r="B34" s="212"/>
      <c r="C34" s="53" t="s">
        <v>98</v>
      </c>
      <c r="D34" s="42">
        <v>337</v>
      </c>
      <c r="E34" s="22">
        <v>448</v>
      </c>
      <c r="F34" s="22">
        <v>1179</v>
      </c>
      <c r="G34" s="42">
        <v>735</v>
      </c>
      <c r="H34" s="42">
        <f>73</f>
        <v>73</v>
      </c>
      <c r="I34" s="42">
        <v>105</v>
      </c>
      <c r="J34" s="60">
        <v>181</v>
      </c>
      <c r="K34" s="4">
        <f>948</f>
        <v>948</v>
      </c>
      <c r="L34" s="4">
        <v>110</v>
      </c>
      <c r="M34" s="4">
        <v>403</v>
      </c>
      <c r="N34" s="4">
        <v>147</v>
      </c>
      <c r="O34" s="4">
        <v>20</v>
      </c>
      <c r="P34" s="11">
        <f t="shared" si="5"/>
        <v>4686</v>
      </c>
    </row>
    <row r="35" spans="1:16" ht="20.100000000000001" customHeight="1" x14ac:dyDescent="0.15">
      <c r="A35" s="201"/>
      <c r="B35" s="212"/>
      <c r="C35" s="53" t="s">
        <v>131</v>
      </c>
      <c r="D35" s="42"/>
      <c r="E35" s="22"/>
      <c r="F35" s="22"/>
      <c r="G35" s="44"/>
      <c r="H35" s="44"/>
      <c r="I35" s="44"/>
      <c r="J35" s="62"/>
      <c r="K35" s="49"/>
      <c r="L35" s="42"/>
      <c r="M35" s="50"/>
      <c r="N35" s="42"/>
      <c r="O35" s="50"/>
      <c r="P35" s="11">
        <f t="shared" si="5"/>
        <v>0</v>
      </c>
    </row>
    <row r="36" spans="1:16" ht="20.100000000000001" customHeight="1" x14ac:dyDescent="0.15">
      <c r="A36" s="201"/>
      <c r="B36" s="212"/>
      <c r="C36" s="53" t="s">
        <v>19</v>
      </c>
      <c r="D36" s="4">
        <v>1020</v>
      </c>
      <c r="E36" s="22">
        <v>3003</v>
      </c>
      <c r="F36" s="22">
        <f>85+1741</f>
        <v>1826</v>
      </c>
      <c r="G36" s="42">
        <f>103+4317</f>
        <v>4420</v>
      </c>
      <c r="H36" s="4">
        <f>5262+165</f>
        <v>5427</v>
      </c>
      <c r="I36" s="4">
        <f>707+78</f>
        <v>785</v>
      </c>
      <c r="J36" s="60">
        <v>3563</v>
      </c>
      <c r="K36" s="4">
        <f>3877+94</f>
        <v>3971</v>
      </c>
      <c r="L36" s="4">
        <f>146+368</f>
        <v>514</v>
      </c>
      <c r="M36" s="4">
        <f>169+957</f>
        <v>1126</v>
      </c>
      <c r="N36" s="4">
        <f>190+1115</f>
        <v>1305</v>
      </c>
      <c r="O36" s="4">
        <f>100+320</f>
        <v>420</v>
      </c>
      <c r="P36" s="11">
        <f>SUM(D36:O36)</f>
        <v>27380</v>
      </c>
    </row>
    <row r="37" spans="1:16" ht="20.100000000000001" customHeight="1" x14ac:dyDescent="0.15">
      <c r="A37" s="201"/>
      <c r="B37" s="213"/>
      <c r="C37" s="19" t="s">
        <v>130</v>
      </c>
      <c r="D37" s="20">
        <f t="shared" ref="D37:O37" si="6">SUM(D20:D36)</f>
        <v>23669</v>
      </c>
      <c r="E37" s="20">
        <f t="shared" si="6"/>
        <v>16693</v>
      </c>
      <c r="F37" s="20">
        <f t="shared" si="6"/>
        <v>25537</v>
      </c>
      <c r="G37" s="45">
        <f t="shared" si="6"/>
        <v>30935</v>
      </c>
      <c r="H37" s="20">
        <f t="shared" si="6"/>
        <v>26188</v>
      </c>
      <c r="I37" s="20">
        <f t="shared" si="6"/>
        <v>22661</v>
      </c>
      <c r="J37" s="20">
        <f t="shared" si="6"/>
        <v>23223</v>
      </c>
      <c r="K37" s="20">
        <f t="shared" si="6"/>
        <v>18611</v>
      </c>
      <c r="L37" s="20">
        <f t="shared" si="6"/>
        <v>15731</v>
      </c>
      <c r="M37" s="20">
        <f t="shared" si="6"/>
        <v>16569</v>
      </c>
      <c r="N37" s="20">
        <f t="shared" si="6"/>
        <v>18250</v>
      </c>
      <c r="O37" s="20">
        <f t="shared" si="6"/>
        <v>22030</v>
      </c>
      <c r="P37" s="11">
        <f t="shared" si="5"/>
        <v>260097</v>
      </c>
    </row>
    <row r="38" spans="1:16" ht="20.100000000000001" customHeight="1" x14ac:dyDescent="0.15">
      <c r="A38" s="201"/>
      <c r="B38" s="220" t="s">
        <v>124</v>
      </c>
      <c r="C38" s="53" t="s">
        <v>36</v>
      </c>
      <c r="D38" s="4">
        <v>43</v>
      </c>
      <c r="E38" s="22">
        <v>23</v>
      </c>
      <c r="F38" s="22">
        <v>96</v>
      </c>
      <c r="G38" s="42">
        <v>102</v>
      </c>
      <c r="H38" s="4">
        <f>129</f>
        <v>129</v>
      </c>
      <c r="I38" s="4">
        <v>48</v>
      </c>
      <c r="J38" s="64">
        <v>143</v>
      </c>
      <c r="K38" s="4">
        <f>27</f>
        <v>27</v>
      </c>
      <c r="L38" s="4">
        <v>97</v>
      </c>
      <c r="M38" s="42">
        <v>11</v>
      </c>
      <c r="N38" s="4">
        <v>4</v>
      </c>
      <c r="O38" s="4">
        <v>54</v>
      </c>
      <c r="P38" s="11">
        <f t="shared" si="5"/>
        <v>777</v>
      </c>
    </row>
    <row r="39" spans="1:16" ht="20.100000000000001" customHeight="1" x14ac:dyDescent="0.15">
      <c r="A39" s="201"/>
      <c r="B39" s="221"/>
      <c r="C39" s="53" t="s">
        <v>46</v>
      </c>
      <c r="D39" s="4">
        <v>74</v>
      </c>
      <c r="E39" s="22">
        <v>76</v>
      </c>
      <c r="F39" s="22">
        <v>59</v>
      </c>
      <c r="G39" s="42">
        <f>186</f>
        <v>186</v>
      </c>
      <c r="H39" s="4">
        <v>50</v>
      </c>
      <c r="I39" s="42">
        <v>65</v>
      </c>
      <c r="J39" s="64">
        <v>31</v>
      </c>
      <c r="K39" s="4">
        <v>51</v>
      </c>
      <c r="L39" s="4">
        <v>98</v>
      </c>
      <c r="M39" s="4">
        <v>22</v>
      </c>
      <c r="N39" s="4">
        <v>83</v>
      </c>
      <c r="O39" s="4">
        <v>95</v>
      </c>
      <c r="P39" s="11">
        <f t="shared" si="5"/>
        <v>890</v>
      </c>
    </row>
    <row r="40" spans="1:16" ht="20.100000000000001" customHeight="1" x14ac:dyDescent="0.15">
      <c r="A40" s="201"/>
      <c r="B40" s="221"/>
      <c r="C40" s="53" t="s">
        <v>136</v>
      </c>
      <c r="D40" s="4">
        <v>120</v>
      </c>
      <c r="E40" s="22">
        <v>169</v>
      </c>
      <c r="F40" s="22">
        <v>233</v>
      </c>
      <c r="G40" s="42">
        <v>151</v>
      </c>
      <c r="H40" s="4">
        <v>79</v>
      </c>
      <c r="I40" s="42">
        <v>123</v>
      </c>
      <c r="J40" s="64">
        <v>297</v>
      </c>
      <c r="K40" s="4">
        <v>157</v>
      </c>
      <c r="L40" s="4">
        <v>111</v>
      </c>
      <c r="M40" s="4">
        <v>167</v>
      </c>
      <c r="N40" s="4">
        <v>239</v>
      </c>
      <c r="O40" s="4">
        <v>206</v>
      </c>
      <c r="P40" s="11">
        <f t="shared" si="5"/>
        <v>2052</v>
      </c>
    </row>
    <row r="41" spans="1:16" ht="20.100000000000001" customHeight="1" x14ac:dyDescent="0.15">
      <c r="A41" s="201"/>
      <c r="B41" s="221"/>
      <c r="C41" s="53" t="s">
        <v>19</v>
      </c>
      <c r="D41" s="4">
        <v>92</v>
      </c>
      <c r="E41" s="22">
        <v>118</v>
      </c>
      <c r="F41" s="22">
        <f>215+30</f>
        <v>245</v>
      </c>
      <c r="G41" s="42">
        <f>100+75</f>
        <v>175</v>
      </c>
      <c r="H41" s="4">
        <f>195+66</f>
        <v>261</v>
      </c>
      <c r="I41" s="4">
        <f>73+176</f>
        <v>249</v>
      </c>
      <c r="J41" s="64">
        <v>118</v>
      </c>
      <c r="K41" s="4">
        <f>46+97</f>
        <v>143</v>
      </c>
      <c r="L41" s="4">
        <f>21+134</f>
        <v>155</v>
      </c>
      <c r="M41" s="4">
        <f>66+74</f>
        <v>140</v>
      </c>
      <c r="N41" s="4">
        <f>168+86</f>
        <v>254</v>
      </c>
      <c r="O41" s="4">
        <f>293+106</f>
        <v>399</v>
      </c>
      <c r="P41" s="11">
        <f t="shared" si="5"/>
        <v>2349</v>
      </c>
    </row>
    <row r="42" spans="1:16" ht="20.100000000000001" customHeight="1" x14ac:dyDescent="0.15">
      <c r="A42" s="201"/>
      <c r="B42" s="222"/>
      <c r="C42" s="19" t="s">
        <v>130</v>
      </c>
      <c r="D42" s="20">
        <f t="shared" ref="D42:O42" si="7">SUM(D38:D41)</f>
        <v>329</v>
      </c>
      <c r="E42" s="20">
        <f t="shared" si="7"/>
        <v>386</v>
      </c>
      <c r="F42" s="20">
        <f t="shared" si="7"/>
        <v>633</v>
      </c>
      <c r="G42" s="45">
        <f t="shared" si="7"/>
        <v>614</v>
      </c>
      <c r="H42" s="20">
        <f t="shared" si="7"/>
        <v>519</v>
      </c>
      <c r="I42" s="20">
        <f t="shared" si="7"/>
        <v>485</v>
      </c>
      <c r="J42" s="20">
        <f t="shared" si="7"/>
        <v>589</v>
      </c>
      <c r="K42" s="20">
        <f t="shared" si="7"/>
        <v>378</v>
      </c>
      <c r="L42" s="20">
        <f t="shared" si="7"/>
        <v>461</v>
      </c>
      <c r="M42" s="20">
        <f t="shared" si="7"/>
        <v>340</v>
      </c>
      <c r="N42" s="20">
        <f t="shared" si="7"/>
        <v>580</v>
      </c>
      <c r="O42" s="20">
        <f t="shared" si="7"/>
        <v>754</v>
      </c>
      <c r="P42" s="11">
        <f t="shared" si="5"/>
        <v>6068</v>
      </c>
    </row>
    <row r="43" spans="1:16" ht="20.100000000000001" customHeight="1" x14ac:dyDescent="0.15">
      <c r="A43" s="201"/>
      <c r="B43" s="216" t="s">
        <v>127</v>
      </c>
      <c r="C43" s="217"/>
      <c r="D43" s="4">
        <v>357</v>
      </c>
      <c r="E43" s="22">
        <v>236</v>
      </c>
      <c r="F43" s="22">
        <f>182+65</f>
        <v>247</v>
      </c>
      <c r="G43" s="42">
        <f>285+94</f>
        <v>379</v>
      </c>
      <c r="H43" s="4">
        <f>197+164</f>
        <v>361</v>
      </c>
      <c r="I43" s="4">
        <f>133+269</f>
        <v>402</v>
      </c>
      <c r="J43" s="4">
        <v>381</v>
      </c>
      <c r="K43" s="4">
        <f>141+245</f>
        <v>386</v>
      </c>
      <c r="L43" s="4">
        <f>281+35</f>
        <v>316</v>
      </c>
      <c r="M43" s="4">
        <f>215+119</f>
        <v>334</v>
      </c>
      <c r="N43" s="4">
        <f>230+31</f>
        <v>261</v>
      </c>
      <c r="O43" s="4">
        <f>154+57</f>
        <v>211</v>
      </c>
      <c r="P43" s="11">
        <f t="shared" si="5"/>
        <v>3871</v>
      </c>
    </row>
    <row r="44" spans="1:16" ht="24.75" customHeight="1" x14ac:dyDescent="0.15">
      <c r="A44" s="201"/>
      <c r="B44" s="199" t="s">
        <v>40</v>
      </c>
      <c r="C44" s="199"/>
      <c r="D44" s="6">
        <f t="shared" ref="D44:O44" si="8">D37+D42+D43</f>
        <v>24355</v>
      </c>
      <c r="E44" s="6">
        <f t="shared" si="8"/>
        <v>17315</v>
      </c>
      <c r="F44" s="6">
        <f t="shared" si="8"/>
        <v>26417</v>
      </c>
      <c r="G44" s="43">
        <f t="shared" si="8"/>
        <v>31928</v>
      </c>
      <c r="H44" s="6">
        <f t="shared" si="8"/>
        <v>27068</v>
      </c>
      <c r="I44" s="6">
        <f t="shared" si="8"/>
        <v>23548</v>
      </c>
      <c r="J44" s="6">
        <f t="shared" si="8"/>
        <v>24193</v>
      </c>
      <c r="K44" s="6">
        <f t="shared" si="8"/>
        <v>19375</v>
      </c>
      <c r="L44" s="6">
        <f t="shared" si="8"/>
        <v>16508</v>
      </c>
      <c r="M44" s="6">
        <f t="shared" si="8"/>
        <v>17243</v>
      </c>
      <c r="N44" s="6">
        <f>N37+N42+N43</f>
        <v>19091</v>
      </c>
      <c r="O44" s="6">
        <f t="shared" si="8"/>
        <v>22995</v>
      </c>
      <c r="P44" s="13">
        <f t="shared" si="5"/>
        <v>270036</v>
      </c>
    </row>
    <row r="45" spans="1:16" s="2" customFormat="1" ht="26.45" customHeight="1" x14ac:dyDescent="0.15">
      <c r="A45" s="202" t="s">
        <v>41</v>
      </c>
      <c r="B45" s="203"/>
      <c r="C45" s="203"/>
      <c r="D45" s="7">
        <f t="shared" ref="D45:O45" si="9">SUM(D19,D44)</f>
        <v>73671</v>
      </c>
      <c r="E45" s="7">
        <f t="shared" si="9"/>
        <v>63573</v>
      </c>
      <c r="F45" s="7">
        <f t="shared" si="9"/>
        <v>79811</v>
      </c>
      <c r="G45" s="46">
        <f t="shared" si="9"/>
        <v>89209</v>
      </c>
      <c r="H45" s="7">
        <f t="shared" si="9"/>
        <v>74408</v>
      </c>
      <c r="I45" s="7">
        <f t="shared" si="9"/>
        <v>77792</v>
      </c>
      <c r="J45" s="7">
        <f t="shared" si="9"/>
        <v>79747</v>
      </c>
      <c r="K45" s="7">
        <f t="shared" si="9"/>
        <v>58505</v>
      </c>
      <c r="L45" s="7">
        <f t="shared" si="9"/>
        <v>58136</v>
      </c>
      <c r="M45" s="7">
        <f t="shared" si="9"/>
        <v>68414</v>
      </c>
      <c r="N45" s="7">
        <f t="shared" si="9"/>
        <v>66023</v>
      </c>
      <c r="O45" s="7">
        <f t="shared" si="9"/>
        <v>82352</v>
      </c>
      <c r="P45" s="12">
        <f t="shared" si="5"/>
        <v>871641</v>
      </c>
    </row>
    <row r="46" spans="1:16" ht="19.5" customHeight="1" x14ac:dyDescent="0.15">
      <c r="A46" s="204" t="s">
        <v>43</v>
      </c>
      <c r="B46" s="205"/>
      <c r="C46" s="205"/>
      <c r="D46" s="4">
        <v>49719</v>
      </c>
      <c r="E46" s="22">
        <v>38271</v>
      </c>
      <c r="F46" s="22">
        <f>22653+17564</f>
        <v>40217</v>
      </c>
      <c r="G46" s="42">
        <f>26211+25465</f>
        <v>51676</v>
      </c>
      <c r="H46" s="4">
        <f>18496+26160</f>
        <v>44656</v>
      </c>
      <c r="I46" s="4">
        <f>14719+25100</f>
        <v>39819</v>
      </c>
      <c r="J46" s="4">
        <v>46772</v>
      </c>
      <c r="K46" s="4">
        <f>14391+29948</f>
        <v>44339</v>
      </c>
      <c r="L46" s="4">
        <f>20981+14198</f>
        <v>35179</v>
      </c>
      <c r="M46" s="4">
        <f>26755+24999</f>
        <v>51754</v>
      </c>
      <c r="N46" s="4">
        <f>22067+22804</f>
        <v>44871</v>
      </c>
      <c r="O46" s="4">
        <f>24009+23462</f>
        <v>47471</v>
      </c>
      <c r="P46" s="11">
        <f t="shared" si="5"/>
        <v>534744</v>
      </c>
    </row>
    <row r="47" spans="1:16" ht="20.100000000000001" customHeight="1" x14ac:dyDescent="0.15">
      <c r="A47" s="218" t="s">
        <v>129</v>
      </c>
      <c r="B47" s="219"/>
      <c r="C47" s="217"/>
      <c r="D47" s="16">
        <v>3212</v>
      </c>
      <c r="E47" s="22">
        <v>1448</v>
      </c>
      <c r="F47" s="22">
        <f>1569+1304</f>
        <v>2873</v>
      </c>
      <c r="G47" s="47">
        <f>2106+255</f>
        <v>2361</v>
      </c>
      <c r="H47" s="16">
        <f>1522+650</f>
        <v>2172</v>
      </c>
      <c r="I47" s="16">
        <f>335+1234</f>
        <v>1569</v>
      </c>
      <c r="J47" s="16">
        <v>2015</v>
      </c>
      <c r="K47" s="16">
        <f>812+747</f>
        <v>1559</v>
      </c>
      <c r="L47" s="16">
        <f>502+434</f>
        <v>936</v>
      </c>
      <c r="M47" s="16">
        <f>1172+619</f>
        <v>1791</v>
      </c>
      <c r="N47" s="16">
        <f>769+698</f>
        <v>1467</v>
      </c>
      <c r="O47" s="16">
        <f>878+735</f>
        <v>1613</v>
      </c>
      <c r="P47" s="17">
        <f t="shared" si="5"/>
        <v>23016</v>
      </c>
    </row>
    <row r="48" spans="1:16" s="2" customFormat="1" ht="27.75" customHeight="1" thickBot="1" x14ac:dyDescent="0.2">
      <c r="A48" s="197" t="s">
        <v>42</v>
      </c>
      <c r="B48" s="198"/>
      <c r="C48" s="198"/>
      <c r="D48" s="21">
        <f t="shared" ref="D48:O48" si="10">D45+D46+D47</f>
        <v>126602</v>
      </c>
      <c r="E48" s="21">
        <f t="shared" si="10"/>
        <v>103292</v>
      </c>
      <c r="F48" s="21">
        <f t="shared" si="10"/>
        <v>122901</v>
      </c>
      <c r="G48" s="48">
        <f t="shared" si="10"/>
        <v>143246</v>
      </c>
      <c r="H48" s="21">
        <f t="shared" si="10"/>
        <v>121236</v>
      </c>
      <c r="I48" s="21">
        <f t="shared" si="10"/>
        <v>119180</v>
      </c>
      <c r="J48" s="21">
        <f t="shared" si="10"/>
        <v>128534</v>
      </c>
      <c r="K48" s="21">
        <f t="shared" si="10"/>
        <v>104403</v>
      </c>
      <c r="L48" s="21">
        <f t="shared" si="10"/>
        <v>94251</v>
      </c>
      <c r="M48" s="21">
        <f t="shared" si="10"/>
        <v>121959</v>
      </c>
      <c r="N48" s="21">
        <f t="shared" si="10"/>
        <v>112361</v>
      </c>
      <c r="O48" s="21">
        <f t="shared" si="10"/>
        <v>131436</v>
      </c>
      <c r="P48" s="14">
        <f>SUM(C48:O48)</f>
        <v>1429401</v>
      </c>
    </row>
    <row r="49" spans="4:12" ht="20.100000000000001" customHeight="1" x14ac:dyDescent="0.15"/>
    <row r="50" spans="4:12" x14ac:dyDescent="0.15">
      <c r="L50" s="29"/>
    </row>
    <row r="51" spans="4:12" x14ac:dyDescent="0.15">
      <c r="F51" s="29"/>
    </row>
    <row r="54" spans="4:12" x14ac:dyDescent="0.15">
      <c r="D54" s="29"/>
      <c r="E54" s="29"/>
    </row>
    <row r="55" spans="4:12" x14ac:dyDescent="0.15">
      <c r="D55" s="29"/>
    </row>
    <row r="56" spans="4:12" x14ac:dyDescent="0.15">
      <c r="D56" s="29"/>
    </row>
    <row r="57" spans="4:12" x14ac:dyDescent="0.15">
      <c r="D57" s="29"/>
    </row>
  </sheetData>
  <mergeCells count="17">
    <mergeCell ref="A46:C46"/>
    <mergeCell ref="A47:C47"/>
    <mergeCell ref="A48:C48"/>
    <mergeCell ref="A20:A44"/>
    <mergeCell ref="B20:B37"/>
    <mergeCell ref="B38:B42"/>
    <mergeCell ref="B43:C43"/>
    <mergeCell ref="B44:C44"/>
    <mergeCell ref="A45:C45"/>
    <mergeCell ref="A1:P1"/>
    <mergeCell ref="A2:C2"/>
    <mergeCell ref="A3:A19"/>
    <mergeCell ref="B3:B9"/>
    <mergeCell ref="B10:B16"/>
    <mergeCell ref="B17:C17"/>
    <mergeCell ref="B18:C18"/>
    <mergeCell ref="B19:C19"/>
  </mergeCells>
  <phoneticPr fontId="14" type="noConversion"/>
  <pageMargins left="1.3385826771653544" right="0.51181102362204722" top="0.70866141732283472" bottom="0.35433070866141736" header="0.11811023622047245" footer="0.11811023622047245"/>
  <pageSetup paperSize="9" scale="53" fitToWidth="2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D13:H13"/>
  <sheetViews>
    <sheetView topLeftCell="A25" workbookViewId="0">
      <selection activeCell="H12" sqref="H12"/>
    </sheetView>
  </sheetViews>
  <sheetFormatPr defaultRowHeight="13.5" x14ac:dyDescent="0.15"/>
  <sheetData>
    <row r="13" spans="4:8" x14ac:dyDescent="0.15">
      <c r="D13">
        <f>'2017'!D47/'2016'!D47</f>
        <v>0.86629221746244778</v>
      </c>
      <c r="E13">
        <f>('2017'!D47+'2017'!E47)/('2016'!D47+'2016'!E47)</f>
        <v>0.95387883511386529</v>
      </c>
      <c r="F13">
        <f>('2017'!D47+'2017'!E47+'2017'!F47)/('2016'!D47+'2016'!E47+'2016'!F47)</f>
        <v>0.94506970219918585</v>
      </c>
      <c r="G13">
        <f>('2017'!D47+'2017'!E47+'2017'!F47+'2017'!G47)/('2016'!D47+'2016'!E47+'2016'!F47+'2016'!G47)</f>
        <v>0.96159756282776299</v>
      </c>
      <c r="H13">
        <f>('2017'!D47+'2017'!E47+'2017'!F47+'2017'!G47+'2017'!H47)/('2016'!D47+'2016'!E47+'2016'!F47+'2016'!G47+'2016'!H47)</f>
        <v>0.98112564930097701</v>
      </c>
    </row>
  </sheetData>
  <phoneticPr fontId="14" type="noConversion"/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P57"/>
  <sheetViews>
    <sheetView zoomScale="90" zoomScaleNormal="90" workbookViewId="0">
      <pane xSplit="3" ySplit="2" topLeftCell="D3" activePane="bottomRight" state="frozen"/>
      <selection pane="topRight" activeCell="D1" sqref="D1"/>
      <selection pane="bottomLeft" activeCell="A3" sqref="A3"/>
      <selection pane="bottomRight" activeCell="B19" sqref="B19:P19"/>
    </sheetView>
  </sheetViews>
  <sheetFormatPr defaultRowHeight="13.5" x14ac:dyDescent="0.15"/>
  <cols>
    <col min="1" max="1" width="5.21875" customWidth="1"/>
    <col min="2" max="2" width="5.44140625" customWidth="1"/>
    <col min="3" max="3" width="11.44140625" customWidth="1"/>
    <col min="4" max="13" width="13.5546875" customWidth="1"/>
    <col min="14" max="14" width="13.5546875" style="65" customWidth="1"/>
    <col min="15" max="15" width="13.5546875" customWidth="1"/>
    <col min="16" max="16" width="14.6640625" style="2" customWidth="1"/>
  </cols>
  <sheetData>
    <row r="1" spans="1:16" ht="51" customHeight="1" thickBot="1" x14ac:dyDescent="0.2">
      <c r="A1" s="223" t="s">
        <v>155</v>
      </c>
      <c r="B1" s="223"/>
      <c r="C1" s="223"/>
      <c r="D1" s="223"/>
      <c r="E1" s="223"/>
      <c r="F1" s="223"/>
      <c r="G1" s="223"/>
      <c r="H1" s="223"/>
      <c r="I1" s="223"/>
      <c r="J1" s="223"/>
      <c r="K1" s="223"/>
      <c r="L1" s="223"/>
      <c r="M1" s="223"/>
      <c r="N1" s="223"/>
      <c r="O1" s="223"/>
      <c r="P1" s="223"/>
    </row>
    <row r="2" spans="1:16" ht="25.5" customHeight="1" x14ac:dyDescent="0.15">
      <c r="A2" s="224" t="s">
        <v>13</v>
      </c>
      <c r="B2" s="225"/>
      <c r="C2" s="226"/>
      <c r="D2" s="79" t="s">
        <v>0</v>
      </c>
      <c r="E2" s="79" t="s">
        <v>1</v>
      </c>
      <c r="F2" s="79" t="s">
        <v>2</v>
      </c>
      <c r="G2" s="79" t="s">
        <v>3</v>
      </c>
      <c r="H2" s="79" t="s">
        <v>4</v>
      </c>
      <c r="I2" s="79" t="s">
        <v>5</v>
      </c>
      <c r="J2" s="79" t="s">
        <v>6</v>
      </c>
      <c r="K2" s="79" t="s">
        <v>7</v>
      </c>
      <c r="L2" s="79" t="s">
        <v>8</v>
      </c>
      <c r="M2" s="79" t="s">
        <v>9</v>
      </c>
      <c r="N2" s="79" t="s">
        <v>10</v>
      </c>
      <c r="O2" s="79" t="s">
        <v>11</v>
      </c>
      <c r="P2" s="9" t="s">
        <v>44</v>
      </c>
    </row>
    <row r="3" spans="1:16" ht="19.899999999999999" customHeight="1" x14ac:dyDescent="0.15">
      <c r="A3" s="227" t="s">
        <v>14</v>
      </c>
      <c r="B3" s="211" t="s">
        <v>122</v>
      </c>
      <c r="C3" s="78" t="s">
        <v>16</v>
      </c>
      <c r="D3" s="66">
        <v>52274</v>
      </c>
      <c r="E3" s="22">
        <v>42248</v>
      </c>
      <c r="F3" s="22">
        <v>53174</v>
      </c>
      <c r="G3" s="22">
        <f>47577+18</f>
        <v>47595</v>
      </c>
      <c r="H3" s="22">
        <v>48619</v>
      </c>
      <c r="I3" s="22">
        <v>41218</v>
      </c>
      <c r="J3" s="22">
        <f>200+60436</f>
        <v>60636</v>
      </c>
      <c r="K3" s="22">
        <f>3674+40041</f>
        <v>43715</v>
      </c>
      <c r="L3" s="22">
        <v>47377</v>
      </c>
      <c r="M3" s="22">
        <f>1+47908</f>
        <v>47909</v>
      </c>
      <c r="N3" s="22">
        <v>52889</v>
      </c>
      <c r="O3" s="22">
        <f>54501+313</f>
        <v>54814</v>
      </c>
      <c r="P3" s="67">
        <f t="shared" ref="P3:P18" si="0">SUM(D3:O3)</f>
        <v>592468</v>
      </c>
    </row>
    <row r="4" spans="1:16" ht="19.899999999999999" customHeight="1" x14ac:dyDescent="0.15">
      <c r="A4" s="228"/>
      <c r="B4" s="212"/>
      <c r="C4" s="78" t="s">
        <v>17</v>
      </c>
      <c r="D4" s="66">
        <f>7+690</f>
        <v>697</v>
      </c>
      <c r="E4" s="22">
        <f>612+2913</f>
        <v>3525</v>
      </c>
      <c r="F4" s="22">
        <f>5162+41+23</f>
        <v>5226</v>
      </c>
      <c r="G4" s="22">
        <f>6231+863</f>
        <v>7094</v>
      </c>
      <c r="H4" s="22">
        <f>6643+987+60</f>
        <v>7690</v>
      </c>
      <c r="I4" s="22">
        <f>2323+39+2647</f>
        <v>5009</v>
      </c>
      <c r="J4" s="22">
        <f>3874+7328</f>
        <v>11202</v>
      </c>
      <c r="K4" s="22">
        <f>570+8179</f>
        <v>8749</v>
      </c>
      <c r="L4" s="22">
        <f>5237+3746</f>
        <v>8983</v>
      </c>
      <c r="M4" s="22">
        <f>0+4259+3333</f>
        <v>7592</v>
      </c>
      <c r="N4" s="22">
        <f>6354+14+2752</f>
        <v>9120</v>
      </c>
      <c r="O4" s="22">
        <f>5099+5029</f>
        <v>10128</v>
      </c>
      <c r="P4" s="67">
        <f t="shared" si="0"/>
        <v>85015</v>
      </c>
    </row>
    <row r="5" spans="1:16" ht="19.899999999999999" customHeight="1" x14ac:dyDescent="0.15">
      <c r="A5" s="228"/>
      <c r="B5" s="212"/>
      <c r="C5" s="78" t="s">
        <v>18</v>
      </c>
      <c r="D5" s="66">
        <v>2148</v>
      </c>
      <c r="E5" s="22">
        <v>3342</v>
      </c>
      <c r="F5" s="22">
        <v>2359</v>
      </c>
      <c r="G5" s="22">
        <v>2666</v>
      </c>
      <c r="H5" s="22">
        <v>4453</v>
      </c>
      <c r="I5" s="22">
        <v>3802</v>
      </c>
      <c r="J5" s="22">
        <v>4006</v>
      </c>
      <c r="K5" s="22">
        <v>0</v>
      </c>
      <c r="L5" s="22">
        <v>2656</v>
      </c>
      <c r="M5" s="22">
        <f>0+2797</f>
        <v>2797</v>
      </c>
      <c r="N5" s="22">
        <f>97+2614</f>
        <v>2711</v>
      </c>
      <c r="O5" s="22">
        <v>3653</v>
      </c>
      <c r="P5" s="67">
        <f t="shared" si="0"/>
        <v>34593</v>
      </c>
    </row>
    <row r="6" spans="1:16" ht="19.899999999999999" customHeight="1" x14ac:dyDescent="0.15">
      <c r="A6" s="228"/>
      <c r="B6" s="212"/>
      <c r="C6" s="78" t="s">
        <v>118</v>
      </c>
      <c r="D6" s="22">
        <v>280</v>
      </c>
      <c r="E6" s="22">
        <v>0</v>
      </c>
      <c r="F6" s="22">
        <v>0</v>
      </c>
      <c r="G6" s="22">
        <v>463</v>
      </c>
      <c r="H6" s="22">
        <v>100</v>
      </c>
      <c r="I6" s="22">
        <v>510</v>
      </c>
      <c r="J6" s="22">
        <v>390</v>
      </c>
      <c r="K6" s="22">
        <v>0</v>
      </c>
      <c r="L6" s="22">
        <v>0</v>
      </c>
      <c r="M6" s="22">
        <v>100</v>
      </c>
      <c r="N6" s="22">
        <v>0</v>
      </c>
      <c r="O6" s="22">
        <v>0</v>
      </c>
      <c r="P6" s="67">
        <f t="shared" si="0"/>
        <v>1843</v>
      </c>
    </row>
    <row r="7" spans="1:16" ht="19.899999999999999" customHeight="1" x14ac:dyDescent="0.15">
      <c r="A7" s="228"/>
      <c r="B7" s="212"/>
      <c r="C7" s="78" t="s">
        <v>119</v>
      </c>
      <c r="D7" s="22">
        <v>0</v>
      </c>
      <c r="E7" s="22">
        <v>0</v>
      </c>
      <c r="F7" s="22">
        <v>0</v>
      </c>
      <c r="G7" s="22">
        <v>0</v>
      </c>
      <c r="H7" s="22">
        <v>0</v>
      </c>
      <c r="I7" s="22">
        <v>0</v>
      </c>
      <c r="J7" s="22">
        <v>0</v>
      </c>
      <c r="K7" s="22">
        <v>0</v>
      </c>
      <c r="L7" s="22">
        <v>0</v>
      </c>
      <c r="M7" s="22">
        <v>0</v>
      </c>
      <c r="N7" s="22">
        <v>0</v>
      </c>
      <c r="O7" s="22">
        <v>0</v>
      </c>
      <c r="P7" s="67">
        <f t="shared" si="0"/>
        <v>0</v>
      </c>
    </row>
    <row r="8" spans="1:16" ht="19.899999999999999" customHeight="1" x14ac:dyDescent="0.15">
      <c r="A8" s="228"/>
      <c r="B8" s="212"/>
      <c r="C8" s="78" t="s">
        <v>19</v>
      </c>
      <c r="D8" s="66">
        <v>244</v>
      </c>
      <c r="E8" s="22">
        <f>95+6</f>
        <v>101</v>
      </c>
      <c r="F8" s="22">
        <f>19+12</f>
        <v>31</v>
      </c>
      <c r="G8" s="22">
        <v>238</v>
      </c>
      <c r="H8" s="22">
        <f>2+77</f>
        <v>79</v>
      </c>
      <c r="I8" s="22">
        <f>5+88</f>
        <v>93</v>
      </c>
      <c r="J8" s="22">
        <f>174+11</f>
        <v>185</v>
      </c>
      <c r="K8" s="22">
        <f>164+3</f>
        <v>167</v>
      </c>
      <c r="L8" s="22">
        <f>133+10</f>
        <v>143</v>
      </c>
      <c r="M8" s="22">
        <f>75+4</f>
        <v>79</v>
      </c>
      <c r="N8" s="22">
        <v>0</v>
      </c>
      <c r="O8" s="22">
        <v>126</v>
      </c>
      <c r="P8" s="67">
        <f t="shared" si="0"/>
        <v>1486</v>
      </c>
    </row>
    <row r="9" spans="1:16" ht="19.899999999999999" customHeight="1" x14ac:dyDescent="0.15">
      <c r="A9" s="228"/>
      <c r="B9" s="213"/>
      <c r="C9" s="3" t="s">
        <v>22</v>
      </c>
      <c r="D9" s="23">
        <f t="shared" ref="D9:O9" si="1">SUM(D3:D8)</f>
        <v>55643</v>
      </c>
      <c r="E9" s="23">
        <f t="shared" si="1"/>
        <v>49216</v>
      </c>
      <c r="F9" s="23">
        <f t="shared" si="1"/>
        <v>60790</v>
      </c>
      <c r="G9" s="23">
        <f t="shared" si="1"/>
        <v>58056</v>
      </c>
      <c r="H9" s="23">
        <f t="shared" si="1"/>
        <v>60941</v>
      </c>
      <c r="I9" s="23">
        <f t="shared" si="1"/>
        <v>50632</v>
      </c>
      <c r="J9" s="23">
        <f t="shared" si="1"/>
        <v>76419</v>
      </c>
      <c r="K9" s="23">
        <f t="shared" si="1"/>
        <v>52631</v>
      </c>
      <c r="L9" s="23">
        <f t="shared" si="1"/>
        <v>59159</v>
      </c>
      <c r="M9" s="23">
        <f t="shared" si="1"/>
        <v>58477</v>
      </c>
      <c r="N9" s="23">
        <f t="shared" si="1"/>
        <v>64720</v>
      </c>
      <c r="O9" s="23">
        <f t="shared" si="1"/>
        <v>68721</v>
      </c>
      <c r="P9" s="67">
        <f t="shared" si="0"/>
        <v>715405</v>
      </c>
    </row>
    <row r="10" spans="1:16" ht="19.899999999999999" customHeight="1" x14ac:dyDescent="0.15">
      <c r="A10" s="228"/>
      <c r="B10" s="211" t="s">
        <v>123</v>
      </c>
      <c r="C10" s="15" t="s">
        <v>120</v>
      </c>
      <c r="D10" s="66">
        <f>12+131</f>
        <v>143</v>
      </c>
      <c r="E10" s="22">
        <f>18+4</f>
        <v>22</v>
      </c>
      <c r="F10" s="22">
        <v>94</v>
      </c>
      <c r="G10" s="66">
        <v>86</v>
      </c>
      <c r="H10" s="66">
        <v>274</v>
      </c>
      <c r="I10" s="66">
        <v>2</v>
      </c>
      <c r="J10" s="66">
        <f>23+2</f>
        <v>25</v>
      </c>
      <c r="K10" s="66">
        <f>15+4</f>
        <v>19</v>
      </c>
      <c r="L10" s="66">
        <v>3</v>
      </c>
      <c r="M10" s="66">
        <f>0+7</f>
        <v>7</v>
      </c>
      <c r="N10" s="66">
        <f>27+44</f>
        <v>71</v>
      </c>
      <c r="O10" s="66">
        <v>5</v>
      </c>
      <c r="P10" s="67">
        <f t="shared" si="0"/>
        <v>751</v>
      </c>
    </row>
    <row r="11" spans="1:16" ht="19.899999999999999" customHeight="1" x14ac:dyDescent="0.15">
      <c r="A11" s="228"/>
      <c r="B11" s="212"/>
      <c r="C11" s="15" t="s">
        <v>17</v>
      </c>
      <c r="D11" s="66">
        <f>14+17</f>
        <v>31</v>
      </c>
      <c r="E11" s="22">
        <f>28+1</f>
        <v>29</v>
      </c>
      <c r="F11" s="22">
        <v>55</v>
      </c>
      <c r="G11" s="66">
        <f>18+25</f>
        <v>43</v>
      </c>
      <c r="H11" s="66">
        <f>1+5</f>
        <v>6</v>
      </c>
      <c r="I11" s="66">
        <f>30+13</f>
        <v>43</v>
      </c>
      <c r="J11" s="66">
        <f>17+8</f>
        <v>25</v>
      </c>
      <c r="K11" s="66">
        <v>0</v>
      </c>
      <c r="L11" s="66">
        <v>14</v>
      </c>
      <c r="M11" s="66">
        <f>0+92</f>
        <v>92</v>
      </c>
      <c r="N11" s="66">
        <v>19</v>
      </c>
      <c r="O11" s="66">
        <v>3</v>
      </c>
      <c r="P11" s="67">
        <f t="shared" si="0"/>
        <v>360</v>
      </c>
    </row>
    <row r="12" spans="1:16" ht="19.899999999999999" customHeight="1" x14ac:dyDescent="0.15">
      <c r="A12" s="228"/>
      <c r="B12" s="212"/>
      <c r="C12" s="15" t="s">
        <v>132</v>
      </c>
      <c r="D12" s="66">
        <v>0</v>
      </c>
      <c r="E12" s="22">
        <v>10</v>
      </c>
      <c r="F12" s="22">
        <v>14</v>
      </c>
      <c r="G12" s="66">
        <v>67</v>
      </c>
      <c r="H12" s="66">
        <v>2</v>
      </c>
      <c r="I12" s="66">
        <v>10</v>
      </c>
      <c r="J12" s="66">
        <v>34</v>
      </c>
      <c r="K12" s="66">
        <v>0</v>
      </c>
      <c r="L12" s="66">
        <v>2</v>
      </c>
      <c r="M12" s="66">
        <f>0+5</f>
        <v>5</v>
      </c>
      <c r="N12" s="66">
        <v>18</v>
      </c>
      <c r="O12" s="66">
        <f>10+1</f>
        <v>11</v>
      </c>
      <c r="P12" s="67">
        <f t="shared" si="0"/>
        <v>173</v>
      </c>
    </row>
    <row r="13" spans="1:16" ht="19.899999999999999" customHeight="1" x14ac:dyDescent="0.15">
      <c r="A13" s="228"/>
      <c r="B13" s="212"/>
      <c r="C13" s="15" t="s">
        <v>138</v>
      </c>
      <c r="D13" s="66">
        <v>95</v>
      </c>
      <c r="E13" s="22">
        <v>78</v>
      </c>
      <c r="F13" s="22">
        <v>64</v>
      </c>
      <c r="G13" s="66">
        <v>0</v>
      </c>
      <c r="H13" s="66">
        <v>164</v>
      </c>
      <c r="I13" s="66">
        <v>0</v>
      </c>
      <c r="J13" s="66">
        <v>42</v>
      </c>
      <c r="K13" s="66">
        <v>0</v>
      </c>
      <c r="L13" s="66">
        <v>36</v>
      </c>
      <c r="M13" s="66">
        <f>0+19</f>
        <v>19</v>
      </c>
      <c r="N13" s="66">
        <v>67</v>
      </c>
      <c r="O13" s="66">
        <v>56</v>
      </c>
      <c r="P13" s="67">
        <f t="shared" si="0"/>
        <v>621</v>
      </c>
    </row>
    <row r="14" spans="1:16" ht="19.899999999999999" customHeight="1" x14ac:dyDescent="0.15">
      <c r="A14" s="228"/>
      <c r="B14" s="212"/>
      <c r="C14" s="15" t="s">
        <v>137</v>
      </c>
      <c r="D14" s="66">
        <f>29+23</f>
        <v>52</v>
      </c>
      <c r="E14" s="22">
        <f>21+6</f>
        <v>27</v>
      </c>
      <c r="F14" s="22">
        <f>59+4</f>
        <v>63</v>
      </c>
      <c r="G14" s="66">
        <f>24+37</f>
        <v>61</v>
      </c>
      <c r="H14" s="66">
        <f>7+5</f>
        <v>12</v>
      </c>
      <c r="I14" s="66">
        <v>45</v>
      </c>
      <c r="J14" s="66">
        <f>59+28</f>
        <v>87</v>
      </c>
      <c r="K14" s="66">
        <v>81</v>
      </c>
      <c r="L14" s="66">
        <f>28+49</f>
        <v>77</v>
      </c>
      <c r="M14" s="66">
        <f>75+19</f>
        <v>94</v>
      </c>
      <c r="N14" s="66">
        <f>65+22</f>
        <v>87</v>
      </c>
      <c r="O14" s="66">
        <v>43</v>
      </c>
      <c r="P14" s="67">
        <f t="shared" si="0"/>
        <v>729</v>
      </c>
    </row>
    <row r="15" spans="1:16" ht="19.899999999999999" customHeight="1" x14ac:dyDescent="0.15">
      <c r="A15" s="228"/>
      <c r="B15" s="212"/>
      <c r="C15" s="15" t="s">
        <v>19</v>
      </c>
      <c r="D15" s="66">
        <v>19</v>
      </c>
      <c r="E15" s="22">
        <v>1</v>
      </c>
      <c r="F15" s="22">
        <v>0</v>
      </c>
      <c r="G15" s="66">
        <f>3+161</f>
        <v>164</v>
      </c>
      <c r="H15" s="66">
        <v>5</v>
      </c>
      <c r="I15" s="66">
        <v>56</v>
      </c>
      <c r="J15" s="66">
        <v>1</v>
      </c>
      <c r="K15" s="66">
        <v>102</v>
      </c>
      <c r="L15" s="66">
        <v>0</v>
      </c>
      <c r="M15" s="66">
        <f>2+67</f>
        <v>69</v>
      </c>
      <c r="N15" s="66">
        <v>14</v>
      </c>
      <c r="O15" s="66">
        <v>2</v>
      </c>
      <c r="P15" s="67">
        <f t="shared" si="0"/>
        <v>433</v>
      </c>
    </row>
    <row r="16" spans="1:16" ht="19.899999999999999" customHeight="1" x14ac:dyDescent="0.15">
      <c r="A16" s="228"/>
      <c r="B16" s="213"/>
      <c r="C16" s="3" t="s">
        <v>22</v>
      </c>
      <c r="D16" s="23">
        <f t="shared" ref="D16:O16" si="2">SUM(D10:D15)</f>
        <v>340</v>
      </c>
      <c r="E16" s="23">
        <f t="shared" si="2"/>
        <v>167</v>
      </c>
      <c r="F16" s="23">
        <f t="shared" si="2"/>
        <v>290</v>
      </c>
      <c r="G16" s="23">
        <f t="shared" si="2"/>
        <v>421</v>
      </c>
      <c r="H16" s="23">
        <f t="shared" si="2"/>
        <v>463</v>
      </c>
      <c r="I16" s="23">
        <f t="shared" si="2"/>
        <v>156</v>
      </c>
      <c r="J16" s="23">
        <f t="shared" si="2"/>
        <v>214</v>
      </c>
      <c r="K16" s="23">
        <f t="shared" si="2"/>
        <v>202</v>
      </c>
      <c r="L16" s="23">
        <f t="shared" si="2"/>
        <v>132</v>
      </c>
      <c r="M16" s="23">
        <f t="shared" si="2"/>
        <v>286</v>
      </c>
      <c r="N16" s="23">
        <f t="shared" si="2"/>
        <v>276</v>
      </c>
      <c r="O16" s="23">
        <f t="shared" si="2"/>
        <v>120</v>
      </c>
      <c r="P16" s="67">
        <f t="shared" si="0"/>
        <v>3067</v>
      </c>
    </row>
    <row r="17" spans="1:16" ht="19.5" customHeight="1" x14ac:dyDescent="0.15">
      <c r="A17" s="228"/>
      <c r="B17" s="214" t="s">
        <v>20</v>
      </c>
      <c r="C17" s="215"/>
      <c r="D17" s="66">
        <f>397+10</f>
        <v>407</v>
      </c>
      <c r="E17" s="22">
        <f>390+564</f>
        <v>954</v>
      </c>
      <c r="F17" s="22">
        <f>543+5</f>
        <v>548</v>
      </c>
      <c r="G17" s="66">
        <f>147+1183</f>
        <v>1330</v>
      </c>
      <c r="H17" s="66">
        <f>1052+41</f>
        <v>1093</v>
      </c>
      <c r="I17" s="66">
        <f>19+691</f>
        <v>710</v>
      </c>
      <c r="J17" s="66">
        <f>457+50</f>
        <v>507</v>
      </c>
      <c r="K17" s="66">
        <f>1585+1</f>
        <v>1586</v>
      </c>
      <c r="L17" s="66">
        <f>2109+1</f>
        <v>2110</v>
      </c>
      <c r="M17" s="66">
        <f>138+1604</f>
        <v>1742</v>
      </c>
      <c r="N17" s="66">
        <f>3+951</f>
        <v>954</v>
      </c>
      <c r="O17" s="66">
        <f>1628+15</f>
        <v>1643</v>
      </c>
      <c r="P17" s="67">
        <f t="shared" si="0"/>
        <v>13584</v>
      </c>
    </row>
    <row r="18" spans="1:16" ht="19.899999999999999" customHeight="1" x14ac:dyDescent="0.15">
      <c r="A18" s="228"/>
      <c r="B18" s="216" t="s">
        <v>127</v>
      </c>
      <c r="C18" s="217"/>
      <c r="D18" s="66">
        <f>34+44</f>
        <v>78</v>
      </c>
      <c r="E18" s="22">
        <f>72+83</f>
        <v>155</v>
      </c>
      <c r="F18" s="22">
        <f>3+152</f>
        <v>155</v>
      </c>
      <c r="G18" s="22">
        <f>14+70</f>
        <v>84</v>
      </c>
      <c r="H18" s="22">
        <f>46+9</f>
        <v>55</v>
      </c>
      <c r="I18" s="22">
        <v>16</v>
      </c>
      <c r="J18" s="22">
        <f>47+26</f>
        <v>73</v>
      </c>
      <c r="K18" s="22">
        <v>65</v>
      </c>
      <c r="L18" s="22">
        <v>23</v>
      </c>
      <c r="M18" s="22">
        <v>0</v>
      </c>
      <c r="N18" s="22">
        <v>10</v>
      </c>
      <c r="O18" s="22">
        <v>12</v>
      </c>
      <c r="P18" s="67">
        <f t="shared" si="0"/>
        <v>726</v>
      </c>
    </row>
    <row r="19" spans="1:16" ht="26.45" customHeight="1" x14ac:dyDescent="0.15">
      <c r="A19" s="229"/>
      <c r="B19" s="230" t="s">
        <v>39</v>
      </c>
      <c r="C19" s="231"/>
      <c r="D19" s="24">
        <f t="shared" ref="D19:O19" si="3">D9+D18+D16+D17</f>
        <v>56468</v>
      </c>
      <c r="E19" s="24">
        <f t="shared" si="3"/>
        <v>50492</v>
      </c>
      <c r="F19" s="24">
        <f t="shared" si="3"/>
        <v>61783</v>
      </c>
      <c r="G19" s="24">
        <f t="shared" si="3"/>
        <v>59891</v>
      </c>
      <c r="H19" s="24">
        <f t="shared" si="3"/>
        <v>62552</v>
      </c>
      <c r="I19" s="24">
        <f t="shared" si="3"/>
        <v>51514</v>
      </c>
      <c r="J19" s="24">
        <f t="shared" si="3"/>
        <v>77213</v>
      </c>
      <c r="K19" s="24">
        <f t="shared" si="3"/>
        <v>54484</v>
      </c>
      <c r="L19" s="24">
        <f t="shared" si="3"/>
        <v>61424</v>
      </c>
      <c r="M19" s="24">
        <f t="shared" si="3"/>
        <v>60505</v>
      </c>
      <c r="N19" s="24">
        <f>N9+N18+N16+N17</f>
        <v>65960</v>
      </c>
      <c r="O19" s="24">
        <f t="shared" si="3"/>
        <v>70496</v>
      </c>
      <c r="P19" s="68">
        <f t="shared" ref="P19:P29" si="4">SUM(D19:O19)</f>
        <v>732782</v>
      </c>
    </row>
    <row r="20" spans="1:16" ht="19.5" customHeight="1" x14ac:dyDescent="0.15">
      <c r="A20" s="227" t="s">
        <v>21</v>
      </c>
      <c r="B20" s="211" t="s">
        <v>125</v>
      </c>
      <c r="C20" s="78" t="s">
        <v>25</v>
      </c>
      <c r="D20" s="22">
        <f>2814+3216</f>
        <v>6030</v>
      </c>
      <c r="E20" s="22">
        <f>756+6294</f>
        <v>7050</v>
      </c>
      <c r="F20" s="22">
        <f>2299+3167</f>
        <v>5466</v>
      </c>
      <c r="G20" s="22">
        <f>6843+2832</f>
        <v>9675</v>
      </c>
      <c r="H20" s="22">
        <f>3496+3717</f>
        <v>7213</v>
      </c>
      <c r="I20" s="22">
        <f>4344+3130</f>
        <v>7474</v>
      </c>
      <c r="J20" s="22">
        <f>1808+4343</f>
        <v>6151</v>
      </c>
      <c r="K20" s="22">
        <f>4694+5982</f>
        <v>10676</v>
      </c>
      <c r="L20" s="22">
        <f>2774+4368</f>
        <v>7142</v>
      </c>
      <c r="M20" s="22">
        <f>7880+3830</f>
        <v>11710</v>
      </c>
      <c r="N20" s="22">
        <f>2861+4015</f>
        <v>6876</v>
      </c>
      <c r="O20" s="22">
        <f>1911+5301</f>
        <v>7212</v>
      </c>
      <c r="P20" s="67">
        <f t="shared" si="4"/>
        <v>92675</v>
      </c>
    </row>
    <row r="21" spans="1:16" ht="20.100000000000001" customHeight="1" x14ac:dyDescent="0.15">
      <c r="A21" s="228"/>
      <c r="B21" s="212"/>
      <c r="C21" s="78" t="s">
        <v>26</v>
      </c>
      <c r="D21" s="22">
        <f>5257+702</f>
        <v>5959</v>
      </c>
      <c r="E21" s="22">
        <f>4016+72</f>
        <v>4088</v>
      </c>
      <c r="F21" s="22">
        <f>7867+791</f>
        <v>8658</v>
      </c>
      <c r="G21" s="22">
        <f>463+7363</f>
        <v>7826</v>
      </c>
      <c r="H21" s="22">
        <f>6615+358</f>
        <v>6973</v>
      </c>
      <c r="I21" s="22">
        <f>131+3987</f>
        <v>4118</v>
      </c>
      <c r="J21" s="22">
        <f>3906+1300</f>
        <v>5206</v>
      </c>
      <c r="K21" s="22">
        <f>7073+180</f>
        <v>7253</v>
      </c>
      <c r="L21" s="22">
        <f>4571+315</f>
        <v>4886</v>
      </c>
      <c r="M21" s="22">
        <f>491+10693</f>
        <v>11184</v>
      </c>
      <c r="N21" s="22">
        <f>7114+450</f>
        <v>7564</v>
      </c>
      <c r="O21" s="22">
        <f>7131+26</f>
        <v>7157</v>
      </c>
      <c r="P21" s="67">
        <f t="shared" si="4"/>
        <v>80872</v>
      </c>
    </row>
    <row r="22" spans="1:16" ht="20.100000000000001" customHeight="1" x14ac:dyDescent="0.15">
      <c r="A22" s="228"/>
      <c r="B22" s="212"/>
      <c r="C22" s="78" t="s">
        <v>23</v>
      </c>
      <c r="D22" s="22">
        <f>931+111</f>
        <v>1042</v>
      </c>
      <c r="E22" s="22">
        <f>587+87</f>
        <v>674</v>
      </c>
      <c r="F22" s="22">
        <f>597+218</f>
        <v>815</v>
      </c>
      <c r="G22" s="22">
        <f>234+1943</f>
        <v>2177</v>
      </c>
      <c r="H22" s="22">
        <f>1507+213</f>
        <v>1720</v>
      </c>
      <c r="I22" s="22">
        <f>114+1313</f>
        <v>1427</v>
      </c>
      <c r="J22" s="22">
        <f>3223+1198</f>
        <v>4421</v>
      </c>
      <c r="K22" s="22">
        <f>2112+104</f>
        <v>2216</v>
      </c>
      <c r="L22" s="22">
        <f>656+143</f>
        <v>799</v>
      </c>
      <c r="M22" s="22">
        <f>213+2954</f>
        <v>3167</v>
      </c>
      <c r="N22" s="22">
        <f>2470+280</f>
        <v>2750</v>
      </c>
      <c r="O22" s="22">
        <f>1779+273</f>
        <v>2052</v>
      </c>
      <c r="P22" s="67">
        <f t="shared" si="4"/>
        <v>23260</v>
      </c>
    </row>
    <row r="23" spans="1:16" ht="20.100000000000001" customHeight="1" x14ac:dyDescent="0.15">
      <c r="A23" s="228"/>
      <c r="B23" s="212"/>
      <c r="C23" s="78" t="s">
        <v>24</v>
      </c>
      <c r="D23" s="22">
        <f>1810+42</f>
        <v>1852</v>
      </c>
      <c r="E23" s="22">
        <v>111</v>
      </c>
      <c r="F23" s="22">
        <v>128</v>
      </c>
      <c r="G23" s="22">
        <f>762+1067</f>
        <v>1829</v>
      </c>
      <c r="H23" s="22">
        <f>344+166</f>
        <v>510</v>
      </c>
      <c r="I23" s="22">
        <f>118+272</f>
        <v>390</v>
      </c>
      <c r="J23" s="22">
        <f>1358+708</f>
        <v>2066</v>
      </c>
      <c r="K23" s="22">
        <f>565+253</f>
        <v>818</v>
      </c>
      <c r="L23" s="22">
        <f>257+48</f>
        <v>305</v>
      </c>
      <c r="M23" s="22">
        <f>1168+1127</f>
        <v>2295</v>
      </c>
      <c r="N23" s="22">
        <f>1743+1116</f>
        <v>2859</v>
      </c>
      <c r="O23" s="22">
        <f>867+882</f>
        <v>1749</v>
      </c>
      <c r="P23" s="67">
        <f t="shared" si="4"/>
        <v>14912</v>
      </c>
    </row>
    <row r="24" spans="1:16" ht="20.100000000000001" customHeight="1" x14ac:dyDescent="0.15">
      <c r="A24" s="228"/>
      <c r="B24" s="212"/>
      <c r="C24" s="78" t="s">
        <v>28</v>
      </c>
      <c r="D24" s="22">
        <f>17+542</f>
        <v>559</v>
      </c>
      <c r="E24" s="22">
        <v>151</v>
      </c>
      <c r="F24" s="22">
        <f>48+776</f>
        <v>824</v>
      </c>
      <c r="G24" s="22">
        <v>883</v>
      </c>
      <c r="H24" s="22">
        <f>139+1088</f>
        <v>1227</v>
      </c>
      <c r="I24" s="22">
        <f>611+72</f>
        <v>683</v>
      </c>
      <c r="J24" s="22">
        <f>312+256</f>
        <v>568</v>
      </c>
      <c r="K24" s="22">
        <f>19+865</f>
        <v>884</v>
      </c>
      <c r="L24" s="22">
        <v>685</v>
      </c>
      <c r="M24" s="22">
        <f>1598+161</f>
        <v>1759</v>
      </c>
      <c r="N24" s="22">
        <f>77+265</f>
        <v>342</v>
      </c>
      <c r="O24" s="22">
        <v>690</v>
      </c>
      <c r="P24" s="67">
        <f t="shared" si="4"/>
        <v>9255</v>
      </c>
    </row>
    <row r="25" spans="1:16" ht="20.100000000000001" customHeight="1" x14ac:dyDescent="0.15">
      <c r="A25" s="228"/>
      <c r="B25" s="212"/>
      <c r="C25" s="78" t="s">
        <v>29</v>
      </c>
      <c r="D25" s="22">
        <v>21</v>
      </c>
      <c r="E25" s="22">
        <v>8</v>
      </c>
      <c r="F25" s="22">
        <v>26</v>
      </c>
      <c r="G25" s="22">
        <v>62</v>
      </c>
      <c r="H25" s="22">
        <v>27</v>
      </c>
      <c r="I25" s="22">
        <v>0</v>
      </c>
      <c r="J25" s="22">
        <v>18</v>
      </c>
      <c r="K25" s="22">
        <v>1</v>
      </c>
      <c r="L25" s="22">
        <v>0</v>
      </c>
      <c r="M25" s="22">
        <f>0+3</f>
        <v>3</v>
      </c>
      <c r="N25" s="22">
        <v>4</v>
      </c>
      <c r="O25" s="22">
        <v>30</v>
      </c>
      <c r="P25" s="67">
        <f t="shared" si="4"/>
        <v>200</v>
      </c>
    </row>
    <row r="26" spans="1:16" ht="20.100000000000001" customHeight="1" x14ac:dyDescent="0.15">
      <c r="A26" s="228"/>
      <c r="B26" s="212"/>
      <c r="C26" s="78" t="s">
        <v>30</v>
      </c>
      <c r="D26" s="22">
        <v>206</v>
      </c>
      <c r="E26" s="22">
        <v>101</v>
      </c>
      <c r="F26" s="22">
        <v>307</v>
      </c>
      <c r="G26" s="22">
        <v>126</v>
      </c>
      <c r="H26" s="22">
        <v>181</v>
      </c>
      <c r="I26" s="22">
        <v>121</v>
      </c>
      <c r="J26" s="22">
        <v>172</v>
      </c>
      <c r="K26" s="22">
        <v>413</v>
      </c>
      <c r="L26" s="22">
        <v>338</v>
      </c>
      <c r="M26" s="22">
        <f>0+763</f>
        <v>763</v>
      </c>
      <c r="N26" s="22">
        <v>255</v>
      </c>
      <c r="O26" s="22">
        <v>835</v>
      </c>
      <c r="P26" s="67">
        <f t="shared" si="4"/>
        <v>3818</v>
      </c>
    </row>
    <row r="27" spans="1:16" ht="20.100000000000001" customHeight="1" x14ac:dyDescent="0.15">
      <c r="A27" s="228"/>
      <c r="B27" s="212"/>
      <c r="C27" s="78" t="s">
        <v>34</v>
      </c>
      <c r="D27" s="22">
        <v>0</v>
      </c>
      <c r="E27" s="22">
        <v>0</v>
      </c>
      <c r="F27" s="22">
        <v>0</v>
      </c>
      <c r="G27" s="22">
        <v>0</v>
      </c>
      <c r="H27" s="22">
        <v>0</v>
      </c>
      <c r="I27" s="22">
        <v>0</v>
      </c>
      <c r="J27" s="69">
        <v>0</v>
      </c>
      <c r="K27" s="69">
        <v>0</v>
      </c>
      <c r="L27" s="69">
        <v>0</v>
      </c>
      <c r="M27" s="69">
        <v>0</v>
      </c>
      <c r="N27" s="22">
        <v>0</v>
      </c>
      <c r="O27" s="22">
        <v>0</v>
      </c>
      <c r="P27" s="67">
        <f t="shared" si="4"/>
        <v>0</v>
      </c>
    </row>
    <row r="28" spans="1:16" ht="20.100000000000001" customHeight="1" x14ac:dyDescent="0.15">
      <c r="A28" s="228"/>
      <c r="B28" s="212"/>
      <c r="C28" s="78" t="s">
        <v>33</v>
      </c>
      <c r="D28" s="22">
        <v>1218</v>
      </c>
      <c r="E28" s="22">
        <v>883</v>
      </c>
      <c r="F28" s="22">
        <v>607</v>
      </c>
      <c r="G28" s="22">
        <v>502</v>
      </c>
      <c r="H28" s="22">
        <v>706</v>
      </c>
      <c r="I28" s="22">
        <v>269</v>
      </c>
      <c r="J28" s="22">
        <v>1127</v>
      </c>
      <c r="K28" s="22">
        <v>699</v>
      </c>
      <c r="L28" s="22">
        <v>367</v>
      </c>
      <c r="M28" s="22">
        <f>0+791</f>
        <v>791</v>
      </c>
      <c r="N28" s="22">
        <v>906</v>
      </c>
      <c r="O28" s="22">
        <v>749</v>
      </c>
      <c r="P28" s="67">
        <f t="shared" si="4"/>
        <v>8824</v>
      </c>
    </row>
    <row r="29" spans="1:16" ht="20.100000000000001" customHeight="1" x14ac:dyDescent="0.15">
      <c r="A29" s="228"/>
      <c r="B29" s="212"/>
      <c r="C29" s="78" t="s">
        <v>31</v>
      </c>
      <c r="D29" s="22">
        <v>1124</v>
      </c>
      <c r="E29" s="22">
        <v>1127</v>
      </c>
      <c r="F29" s="22">
        <f>1479+3</f>
        <v>1482</v>
      </c>
      <c r="G29" s="22">
        <v>897</v>
      </c>
      <c r="H29" s="22">
        <v>1131</v>
      </c>
      <c r="I29" s="22">
        <v>1387</v>
      </c>
      <c r="J29" s="22">
        <v>205</v>
      </c>
      <c r="K29" s="22">
        <v>802</v>
      </c>
      <c r="L29" s="22">
        <v>666</v>
      </c>
      <c r="M29" s="22">
        <f>0+1110</f>
        <v>1110</v>
      </c>
      <c r="N29" s="22">
        <v>2445</v>
      </c>
      <c r="O29" s="22">
        <v>1660</v>
      </c>
      <c r="P29" s="67">
        <f t="shared" si="4"/>
        <v>14036</v>
      </c>
    </row>
    <row r="30" spans="1:16" ht="20.100000000000001" customHeight="1" x14ac:dyDescent="0.15">
      <c r="A30" s="228"/>
      <c r="B30" s="212"/>
      <c r="C30" s="78" t="s">
        <v>110</v>
      </c>
      <c r="D30" s="22">
        <v>704</v>
      </c>
      <c r="E30" s="22">
        <f>715+107</f>
        <v>822</v>
      </c>
      <c r="F30" s="22">
        <f>1032+136</f>
        <v>1168</v>
      </c>
      <c r="G30" s="22">
        <f>87+1024</f>
        <v>1111</v>
      </c>
      <c r="H30" s="22">
        <f>669+199</f>
        <v>868</v>
      </c>
      <c r="I30" s="22">
        <v>1061</v>
      </c>
      <c r="J30" s="22">
        <f>1031+416</f>
        <v>1447</v>
      </c>
      <c r="K30" s="22">
        <f>886+246</f>
        <v>1132</v>
      </c>
      <c r="L30" s="22">
        <v>1448</v>
      </c>
      <c r="M30" s="22">
        <f>95+1225</f>
        <v>1320</v>
      </c>
      <c r="N30" s="22">
        <v>913</v>
      </c>
      <c r="O30" s="22">
        <f>1417+95</f>
        <v>1512</v>
      </c>
      <c r="P30" s="67">
        <f t="shared" ref="P30:P47" si="5">SUM(D30:O30)</f>
        <v>13506</v>
      </c>
    </row>
    <row r="31" spans="1:16" ht="20.100000000000001" customHeight="1" x14ac:dyDescent="0.15">
      <c r="A31" s="228"/>
      <c r="B31" s="212"/>
      <c r="C31" s="78" t="s">
        <v>27</v>
      </c>
      <c r="D31" s="22">
        <v>486</v>
      </c>
      <c r="E31" s="22">
        <v>18</v>
      </c>
      <c r="F31" s="22">
        <v>914</v>
      </c>
      <c r="G31" s="22">
        <v>326</v>
      </c>
      <c r="H31" s="22">
        <v>692</v>
      </c>
      <c r="I31" s="22">
        <v>2045</v>
      </c>
      <c r="J31" s="22">
        <v>1457</v>
      </c>
      <c r="K31" s="22">
        <v>127</v>
      </c>
      <c r="L31" s="22">
        <v>1134</v>
      </c>
      <c r="M31" s="22">
        <f>0+731</f>
        <v>731</v>
      </c>
      <c r="N31" s="22">
        <v>689</v>
      </c>
      <c r="O31" s="22">
        <v>484</v>
      </c>
      <c r="P31" s="67">
        <f t="shared" si="5"/>
        <v>9103</v>
      </c>
    </row>
    <row r="32" spans="1:16" ht="20.100000000000001" customHeight="1" x14ac:dyDescent="0.15">
      <c r="A32" s="228"/>
      <c r="B32" s="212"/>
      <c r="C32" s="78" t="s">
        <v>32</v>
      </c>
      <c r="D32" s="22">
        <v>3</v>
      </c>
      <c r="E32" s="22">
        <v>8</v>
      </c>
      <c r="F32" s="22">
        <v>151</v>
      </c>
      <c r="G32" s="22">
        <v>217</v>
      </c>
      <c r="H32" s="22">
        <v>259</v>
      </c>
      <c r="I32" s="22">
        <v>520</v>
      </c>
      <c r="J32" s="22">
        <v>232</v>
      </c>
      <c r="K32" s="22">
        <v>287</v>
      </c>
      <c r="L32" s="22">
        <v>49</v>
      </c>
      <c r="M32" s="22">
        <f>0+95</f>
        <v>95</v>
      </c>
      <c r="N32" s="22">
        <v>315</v>
      </c>
      <c r="O32" s="22">
        <v>382</v>
      </c>
      <c r="P32" s="67">
        <f t="shared" si="5"/>
        <v>2518</v>
      </c>
    </row>
    <row r="33" spans="1:16" ht="20.100000000000001" customHeight="1" x14ac:dyDescent="0.15">
      <c r="A33" s="228"/>
      <c r="B33" s="212"/>
      <c r="C33" s="78" t="s">
        <v>50</v>
      </c>
      <c r="D33" s="22">
        <v>11</v>
      </c>
      <c r="E33" s="22">
        <v>113</v>
      </c>
      <c r="F33" s="22">
        <v>6</v>
      </c>
      <c r="G33" s="22">
        <v>110</v>
      </c>
      <c r="H33" s="22">
        <v>0</v>
      </c>
      <c r="I33" s="22">
        <v>82</v>
      </c>
      <c r="J33" s="22">
        <v>0</v>
      </c>
      <c r="K33" s="22">
        <v>78</v>
      </c>
      <c r="L33" s="22">
        <v>21</v>
      </c>
      <c r="M33" s="22">
        <f>30+0</f>
        <v>30</v>
      </c>
      <c r="N33" s="22">
        <v>199</v>
      </c>
      <c r="O33" s="22">
        <v>228</v>
      </c>
      <c r="P33" s="67">
        <f t="shared" si="5"/>
        <v>878</v>
      </c>
    </row>
    <row r="34" spans="1:16" ht="20.100000000000001" customHeight="1" x14ac:dyDescent="0.15">
      <c r="A34" s="228"/>
      <c r="B34" s="212"/>
      <c r="C34" s="78" t="s">
        <v>98</v>
      </c>
      <c r="D34" s="22">
        <v>1</v>
      </c>
      <c r="E34" s="22">
        <v>208</v>
      </c>
      <c r="F34" s="22">
        <v>198</v>
      </c>
      <c r="G34" s="22">
        <v>23</v>
      </c>
      <c r="H34" s="22">
        <v>684</v>
      </c>
      <c r="I34" s="22">
        <v>356</v>
      </c>
      <c r="J34" s="22">
        <v>407</v>
      </c>
      <c r="K34" s="22">
        <v>445</v>
      </c>
      <c r="L34" s="22">
        <v>333</v>
      </c>
      <c r="M34" s="22">
        <f>108+0</f>
        <v>108</v>
      </c>
      <c r="N34" s="22">
        <v>161</v>
      </c>
      <c r="O34" s="22">
        <v>9</v>
      </c>
      <c r="P34" s="67">
        <f t="shared" si="5"/>
        <v>2933</v>
      </c>
    </row>
    <row r="35" spans="1:16" ht="20.100000000000001" customHeight="1" x14ac:dyDescent="0.15">
      <c r="A35" s="228"/>
      <c r="B35" s="212"/>
      <c r="C35" s="78" t="s">
        <v>131</v>
      </c>
      <c r="D35" s="22">
        <v>0</v>
      </c>
      <c r="E35" s="22">
        <v>0</v>
      </c>
      <c r="F35" s="22">
        <v>0</v>
      </c>
      <c r="G35" s="70">
        <v>0</v>
      </c>
      <c r="H35" s="70">
        <v>0</v>
      </c>
      <c r="I35" s="70">
        <v>0</v>
      </c>
      <c r="J35" s="70">
        <v>0</v>
      </c>
      <c r="K35" s="71">
        <v>0</v>
      </c>
      <c r="L35" s="22">
        <v>0</v>
      </c>
      <c r="M35" s="72">
        <v>0</v>
      </c>
      <c r="N35" s="22">
        <v>0</v>
      </c>
      <c r="O35" s="72">
        <v>0</v>
      </c>
      <c r="P35" s="67">
        <f t="shared" si="5"/>
        <v>0</v>
      </c>
    </row>
    <row r="36" spans="1:16" ht="20.100000000000001" customHeight="1" x14ac:dyDescent="0.15">
      <c r="A36" s="228"/>
      <c r="B36" s="212"/>
      <c r="C36" s="78" t="s">
        <v>19</v>
      </c>
      <c r="D36" s="22">
        <f>64+650</f>
        <v>714</v>
      </c>
      <c r="E36" s="22">
        <f>292+3000</f>
        <v>3292</v>
      </c>
      <c r="F36" s="22">
        <f>685+157</f>
        <v>842</v>
      </c>
      <c r="G36" s="22">
        <f>662+451</f>
        <v>1113</v>
      </c>
      <c r="H36" s="22">
        <f>444+4839</f>
        <v>5283</v>
      </c>
      <c r="I36" s="22">
        <f>1228+480</f>
        <v>1708</v>
      </c>
      <c r="J36" s="22">
        <f>876+2068</f>
        <v>2944</v>
      </c>
      <c r="K36" s="22">
        <f>481+8606</f>
        <v>9087</v>
      </c>
      <c r="L36" s="22">
        <f>197+1897</f>
        <v>2094</v>
      </c>
      <c r="M36" s="22">
        <f>2696+272</f>
        <v>2968</v>
      </c>
      <c r="N36" s="22">
        <f>152+3785</f>
        <v>3937</v>
      </c>
      <c r="O36" s="22">
        <f>207+1515</f>
        <v>1722</v>
      </c>
      <c r="P36" s="67">
        <f>SUM(D36:O36)</f>
        <v>35704</v>
      </c>
    </row>
    <row r="37" spans="1:16" ht="20.100000000000001" customHeight="1" x14ac:dyDescent="0.15">
      <c r="A37" s="228"/>
      <c r="B37" s="213"/>
      <c r="C37" s="19" t="s">
        <v>130</v>
      </c>
      <c r="D37" s="25">
        <f t="shared" ref="D37:O37" si="6">SUM(D20:D36)</f>
        <v>19930</v>
      </c>
      <c r="E37" s="25">
        <f t="shared" si="6"/>
        <v>18654</v>
      </c>
      <c r="F37" s="25">
        <f t="shared" si="6"/>
        <v>21592</v>
      </c>
      <c r="G37" s="25">
        <f t="shared" si="6"/>
        <v>26877</v>
      </c>
      <c r="H37" s="25">
        <f t="shared" si="6"/>
        <v>27474</v>
      </c>
      <c r="I37" s="25">
        <f t="shared" si="6"/>
        <v>21641</v>
      </c>
      <c r="J37" s="25">
        <f t="shared" si="6"/>
        <v>26421</v>
      </c>
      <c r="K37" s="25">
        <f t="shared" si="6"/>
        <v>34918</v>
      </c>
      <c r="L37" s="25">
        <f t="shared" si="6"/>
        <v>20267</v>
      </c>
      <c r="M37" s="25">
        <f t="shared" si="6"/>
        <v>38034</v>
      </c>
      <c r="N37" s="25">
        <f t="shared" si="6"/>
        <v>30215</v>
      </c>
      <c r="O37" s="25">
        <f t="shared" si="6"/>
        <v>26471</v>
      </c>
      <c r="P37" s="67">
        <f t="shared" si="5"/>
        <v>312494</v>
      </c>
    </row>
    <row r="38" spans="1:16" ht="20.100000000000001" customHeight="1" x14ac:dyDescent="0.15">
      <c r="A38" s="228"/>
      <c r="B38" s="211" t="s">
        <v>124</v>
      </c>
      <c r="C38" s="78" t="s">
        <v>36</v>
      </c>
      <c r="D38" s="22">
        <v>76</v>
      </c>
      <c r="E38" s="22">
        <v>0</v>
      </c>
      <c r="F38" s="22">
        <v>109</v>
      </c>
      <c r="G38" s="22">
        <v>67</v>
      </c>
      <c r="H38" s="22">
        <v>75</v>
      </c>
      <c r="I38" s="22">
        <v>61</v>
      </c>
      <c r="J38" s="22">
        <v>49</v>
      </c>
      <c r="K38" s="22">
        <v>55</v>
      </c>
      <c r="L38" s="22">
        <v>177</v>
      </c>
      <c r="M38" s="22">
        <f>0+98</f>
        <v>98</v>
      </c>
      <c r="N38" s="22">
        <v>129</v>
      </c>
      <c r="O38" s="22">
        <v>32</v>
      </c>
      <c r="P38" s="67">
        <f t="shared" si="5"/>
        <v>928</v>
      </c>
    </row>
    <row r="39" spans="1:16" ht="20.100000000000001" customHeight="1" x14ac:dyDescent="0.15">
      <c r="A39" s="228"/>
      <c r="B39" s="212"/>
      <c r="C39" s="78" t="s">
        <v>46</v>
      </c>
      <c r="D39" s="22">
        <v>80</v>
      </c>
      <c r="E39" s="22">
        <v>12</v>
      </c>
      <c r="F39" s="22">
        <v>70</v>
      </c>
      <c r="G39" s="22">
        <v>152</v>
      </c>
      <c r="H39" s="22">
        <v>108</v>
      </c>
      <c r="I39" s="22">
        <v>12</v>
      </c>
      <c r="J39" s="22">
        <v>168</v>
      </c>
      <c r="K39" s="22">
        <v>84</v>
      </c>
      <c r="L39" s="22">
        <v>67</v>
      </c>
      <c r="M39" s="22">
        <f>0+420</f>
        <v>420</v>
      </c>
      <c r="N39" s="22">
        <v>65</v>
      </c>
      <c r="O39" s="22">
        <v>36</v>
      </c>
      <c r="P39" s="67">
        <f t="shared" si="5"/>
        <v>1274</v>
      </c>
    </row>
    <row r="40" spans="1:16" ht="20.100000000000001" customHeight="1" x14ac:dyDescent="0.15">
      <c r="A40" s="228"/>
      <c r="B40" s="212"/>
      <c r="C40" s="78" t="s">
        <v>136</v>
      </c>
      <c r="D40" s="22">
        <v>214</v>
      </c>
      <c r="E40" s="22">
        <v>186</v>
      </c>
      <c r="F40" s="22">
        <v>266</v>
      </c>
      <c r="G40" s="22">
        <v>79</v>
      </c>
      <c r="H40" s="22">
        <v>232</v>
      </c>
      <c r="I40" s="22">
        <v>220</v>
      </c>
      <c r="J40" s="22">
        <v>187</v>
      </c>
      <c r="K40" s="22">
        <v>221</v>
      </c>
      <c r="L40" s="22">
        <v>79</v>
      </c>
      <c r="M40" s="22">
        <f>0+53</f>
        <v>53</v>
      </c>
      <c r="N40" s="22">
        <v>324</v>
      </c>
      <c r="O40" s="22">
        <v>132</v>
      </c>
      <c r="P40" s="67">
        <f t="shared" si="5"/>
        <v>2193</v>
      </c>
    </row>
    <row r="41" spans="1:16" ht="20.100000000000001" customHeight="1" x14ac:dyDescent="0.15">
      <c r="A41" s="228"/>
      <c r="B41" s="212"/>
      <c r="C41" s="78" t="s">
        <v>19</v>
      </c>
      <c r="D41" s="22">
        <f>197+44</f>
        <v>241</v>
      </c>
      <c r="E41" s="22">
        <f>67+140</f>
        <v>207</v>
      </c>
      <c r="F41" s="22">
        <f>251+64</f>
        <v>315</v>
      </c>
      <c r="G41" s="22">
        <f>274+99</f>
        <v>373</v>
      </c>
      <c r="H41" s="22">
        <f>153+103</f>
        <v>256</v>
      </c>
      <c r="I41" s="22">
        <f>76+137</f>
        <v>213</v>
      </c>
      <c r="J41" s="22">
        <f>263+75</f>
        <v>338</v>
      </c>
      <c r="K41" s="22">
        <f>71+92</f>
        <v>163</v>
      </c>
      <c r="L41" s="22">
        <f>128+163</f>
        <v>291</v>
      </c>
      <c r="M41" s="22">
        <f>131+60</f>
        <v>191</v>
      </c>
      <c r="N41" s="22">
        <f>77+289</f>
        <v>366</v>
      </c>
      <c r="O41" s="22">
        <f>37+83</f>
        <v>120</v>
      </c>
      <c r="P41" s="67">
        <f t="shared" si="5"/>
        <v>3074</v>
      </c>
    </row>
    <row r="42" spans="1:16" ht="20.100000000000001" customHeight="1" x14ac:dyDescent="0.15">
      <c r="A42" s="228"/>
      <c r="B42" s="213"/>
      <c r="C42" s="19" t="s">
        <v>130</v>
      </c>
      <c r="D42" s="25">
        <f t="shared" ref="D42:O42" si="7">SUM(D38:D41)</f>
        <v>611</v>
      </c>
      <c r="E42" s="25">
        <f t="shared" si="7"/>
        <v>405</v>
      </c>
      <c r="F42" s="25">
        <f t="shared" si="7"/>
        <v>760</v>
      </c>
      <c r="G42" s="25">
        <f t="shared" si="7"/>
        <v>671</v>
      </c>
      <c r="H42" s="25">
        <f t="shared" si="7"/>
        <v>671</v>
      </c>
      <c r="I42" s="25">
        <f t="shared" si="7"/>
        <v>506</v>
      </c>
      <c r="J42" s="25">
        <f t="shared" si="7"/>
        <v>742</v>
      </c>
      <c r="K42" s="25">
        <f t="shared" si="7"/>
        <v>523</v>
      </c>
      <c r="L42" s="25">
        <f t="shared" si="7"/>
        <v>614</v>
      </c>
      <c r="M42" s="25">
        <f t="shared" si="7"/>
        <v>762</v>
      </c>
      <c r="N42" s="25">
        <f t="shared" si="7"/>
        <v>884</v>
      </c>
      <c r="O42" s="25">
        <f t="shared" si="7"/>
        <v>320</v>
      </c>
      <c r="P42" s="67">
        <f t="shared" si="5"/>
        <v>7469</v>
      </c>
    </row>
    <row r="43" spans="1:16" ht="20.100000000000001" customHeight="1" x14ac:dyDescent="0.15">
      <c r="A43" s="228"/>
      <c r="B43" s="216" t="s">
        <v>127</v>
      </c>
      <c r="C43" s="217"/>
      <c r="D43" s="22">
        <f>524+164</f>
        <v>688</v>
      </c>
      <c r="E43" s="22">
        <f>132+51</f>
        <v>183</v>
      </c>
      <c r="F43" s="22">
        <f>457+182</f>
        <v>639</v>
      </c>
      <c r="G43" s="22">
        <f>153+83</f>
        <v>236</v>
      </c>
      <c r="H43" s="22">
        <f>193+78</f>
        <v>271</v>
      </c>
      <c r="I43" s="22">
        <f>188+115</f>
        <v>303</v>
      </c>
      <c r="J43" s="22">
        <f>90+73</f>
        <v>163</v>
      </c>
      <c r="K43" s="22">
        <f>226+72</f>
        <v>298</v>
      </c>
      <c r="L43" s="22">
        <f>77+230</f>
        <v>307</v>
      </c>
      <c r="M43" s="22">
        <f>63+37</f>
        <v>100</v>
      </c>
      <c r="N43" s="22">
        <f>200+150</f>
        <v>350</v>
      </c>
      <c r="O43" s="22">
        <f>61+103</f>
        <v>164</v>
      </c>
      <c r="P43" s="67">
        <f t="shared" si="5"/>
        <v>3702</v>
      </c>
    </row>
    <row r="44" spans="1:16" ht="24.75" customHeight="1" x14ac:dyDescent="0.15">
      <c r="A44" s="229"/>
      <c r="B44" s="230" t="s">
        <v>40</v>
      </c>
      <c r="C44" s="231"/>
      <c r="D44" s="24">
        <f t="shared" ref="D44:O44" si="8">D37+D42+D43</f>
        <v>21229</v>
      </c>
      <c r="E44" s="24">
        <f t="shared" si="8"/>
        <v>19242</v>
      </c>
      <c r="F44" s="24">
        <f t="shared" si="8"/>
        <v>22991</v>
      </c>
      <c r="G44" s="24">
        <f t="shared" si="8"/>
        <v>27784</v>
      </c>
      <c r="H44" s="24">
        <f t="shared" si="8"/>
        <v>28416</v>
      </c>
      <c r="I44" s="24">
        <f t="shared" si="8"/>
        <v>22450</v>
      </c>
      <c r="J44" s="24">
        <f t="shared" si="8"/>
        <v>27326</v>
      </c>
      <c r="K44" s="24">
        <f t="shared" si="8"/>
        <v>35739</v>
      </c>
      <c r="L44" s="24">
        <f t="shared" si="8"/>
        <v>21188</v>
      </c>
      <c r="M44" s="24">
        <f t="shared" si="8"/>
        <v>38896</v>
      </c>
      <c r="N44" s="24">
        <f>N37+N42+N43</f>
        <v>31449</v>
      </c>
      <c r="O44" s="24">
        <f t="shared" si="8"/>
        <v>26955</v>
      </c>
      <c r="P44" s="68">
        <f t="shared" si="5"/>
        <v>323665</v>
      </c>
    </row>
    <row r="45" spans="1:16" s="2" customFormat="1" ht="26.45" customHeight="1" x14ac:dyDescent="0.15">
      <c r="A45" s="235" t="s">
        <v>41</v>
      </c>
      <c r="B45" s="236"/>
      <c r="C45" s="237"/>
      <c r="D45" s="26">
        <f t="shared" ref="D45:O45" si="9">SUM(D19,D44)</f>
        <v>77697</v>
      </c>
      <c r="E45" s="26">
        <f t="shared" si="9"/>
        <v>69734</v>
      </c>
      <c r="F45" s="26">
        <f t="shared" si="9"/>
        <v>84774</v>
      </c>
      <c r="G45" s="26">
        <f t="shared" si="9"/>
        <v>87675</v>
      </c>
      <c r="H45" s="26">
        <f t="shared" si="9"/>
        <v>90968</v>
      </c>
      <c r="I45" s="26">
        <f t="shared" si="9"/>
        <v>73964</v>
      </c>
      <c r="J45" s="26">
        <f t="shared" si="9"/>
        <v>104539</v>
      </c>
      <c r="K45" s="26">
        <f t="shared" si="9"/>
        <v>90223</v>
      </c>
      <c r="L45" s="26">
        <f t="shared" si="9"/>
        <v>82612</v>
      </c>
      <c r="M45" s="26">
        <f t="shared" si="9"/>
        <v>99401</v>
      </c>
      <c r="N45" s="26">
        <f t="shared" si="9"/>
        <v>97409</v>
      </c>
      <c r="O45" s="26">
        <f t="shared" si="9"/>
        <v>97451</v>
      </c>
      <c r="P45" s="73">
        <f t="shared" si="5"/>
        <v>1056447</v>
      </c>
    </row>
    <row r="46" spans="1:16" ht="19.5" customHeight="1" x14ac:dyDescent="0.15">
      <c r="A46" s="218" t="s">
        <v>43</v>
      </c>
      <c r="B46" s="219"/>
      <c r="C46" s="217"/>
      <c r="D46" s="22">
        <f>31609+30988</f>
        <v>62597</v>
      </c>
      <c r="E46" s="22">
        <f>18311+21769</f>
        <v>40080</v>
      </c>
      <c r="F46" s="22">
        <f>27692+25705</f>
        <v>53397</v>
      </c>
      <c r="G46" s="22">
        <f>17621+25347</f>
        <v>42968</v>
      </c>
      <c r="H46" s="22">
        <f>21775+23250</f>
        <v>45025</v>
      </c>
      <c r="I46" s="22">
        <f>17224+20520</f>
        <v>37744</v>
      </c>
      <c r="J46" s="22">
        <f>28934+27481</f>
        <v>56415</v>
      </c>
      <c r="K46" s="22">
        <f>27422+20782</f>
        <v>48204</v>
      </c>
      <c r="L46" s="22">
        <f>22419+19461</f>
        <v>41880</v>
      </c>
      <c r="M46" s="22">
        <f>16115+24262</f>
        <v>40377</v>
      </c>
      <c r="N46" s="22">
        <f>20498+21753</f>
        <v>42251</v>
      </c>
      <c r="O46" s="22">
        <f>22386+23415</f>
        <v>45801</v>
      </c>
      <c r="P46" s="67">
        <f t="shared" si="5"/>
        <v>556739</v>
      </c>
    </row>
    <row r="47" spans="1:16" ht="20.100000000000001" customHeight="1" x14ac:dyDescent="0.15">
      <c r="A47" s="218" t="s">
        <v>129</v>
      </c>
      <c r="B47" s="219"/>
      <c r="C47" s="217"/>
      <c r="D47" s="74">
        <f>1113+1107</f>
        <v>2220</v>
      </c>
      <c r="E47" s="22">
        <f>436+475</f>
        <v>911</v>
      </c>
      <c r="F47" s="22">
        <f>1304+198</f>
        <v>1502</v>
      </c>
      <c r="G47" s="74">
        <f>798+1159</f>
        <v>1957</v>
      </c>
      <c r="H47" s="74">
        <f>1164+319</f>
        <v>1483</v>
      </c>
      <c r="I47" s="74">
        <f>53+667</f>
        <v>720</v>
      </c>
      <c r="J47" s="74">
        <f>2264+1103</f>
        <v>3367</v>
      </c>
      <c r="K47" s="74">
        <f>1422+572</f>
        <v>1994</v>
      </c>
      <c r="L47" s="74">
        <f>1098+977</f>
        <v>2075</v>
      </c>
      <c r="M47" s="74">
        <v>285</v>
      </c>
      <c r="N47" s="74">
        <f>392+995</f>
        <v>1387</v>
      </c>
      <c r="O47" s="74">
        <v>4703</v>
      </c>
      <c r="P47" s="75">
        <f t="shared" si="5"/>
        <v>22604</v>
      </c>
    </row>
    <row r="48" spans="1:16" s="2" customFormat="1" ht="27.75" customHeight="1" thickBot="1" x14ac:dyDescent="0.2">
      <c r="A48" s="232" t="s">
        <v>42</v>
      </c>
      <c r="B48" s="233"/>
      <c r="C48" s="234"/>
      <c r="D48" s="76">
        <f t="shared" ref="D48:O48" si="10">D45+D46+D47</f>
        <v>142514</v>
      </c>
      <c r="E48" s="76">
        <f t="shared" si="10"/>
        <v>110725</v>
      </c>
      <c r="F48" s="76">
        <f t="shared" si="10"/>
        <v>139673</v>
      </c>
      <c r="G48" s="76">
        <f t="shared" si="10"/>
        <v>132600</v>
      </c>
      <c r="H48" s="76">
        <f t="shared" si="10"/>
        <v>137476</v>
      </c>
      <c r="I48" s="76">
        <f t="shared" si="10"/>
        <v>112428</v>
      </c>
      <c r="J48" s="76">
        <f t="shared" si="10"/>
        <v>164321</v>
      </c>
      <c r="K48" s="76">
        <f t="shared" si="10"/>
        <v>140421</v>
      </c>
      <c r="L48" s="76">
        <f t="shared" si="10"/>
        <v>126567</v>
      </c>
      <c r="M48" s="76">
        <f t="shared" si="10"/>
        <v>140063</v>
      </c>
      <c r="N48" s="76">
        <f t="shared" si="10"/>
        <v>141047</v>
      </c>
      <c r="O48" s="76">
        <f t="shared" si="10"/>
        <v>147955</v>
      </c>
      <c r="P48" s="77">
        <f>SUM(D48:O48)</f>
        <v>1635790</v>
      </c>
    </row>
    <row r="49" spans="4:12" ht="20.100000000000001" customHeight="1" x14ac:dyDescent="0.15"/>
    <row r="50" spans="4:12" x14ac:dyDescent="0.15">
      <c r="E50" s="80"/>
      <c r="L50" s="29"/>
    </row>
    <row r="51" spans="4:12" x14ac:dyDescent="0.15">
      <c r="F51" s="29"/>
    </row>
    <row r="54" spans="4:12" x14ac:dyDescent="0.15">
      <c r="D54" s="29"/>
      <c r="E54" s="29"/>
    </row>
    <row r="55" spans="4:12" x14ac:dyDescent="0.15">
      <c r="D55" s="29"/>
    </row>
    <row r="56" spans="4:12" x14ac:dyDescent="0.15">
      <c r="D56" s="29"/>
    </row>
    <row r="57" spans="4:12" x14ac:dyDescent="0.15">
      <c r="D57" s="29"/>
    </row>
  </sheetData>
  <mergeCells count="17">
    <mergeCell ref="A46:C46"/>
    <mergeCell ref="A47:C47"/>
    <mergeCell ref="A48:C48"/>
    <mergeCell ref="A20:A44"/>
    <mergeCell ref="B20:B37"/>
    <mergeCell ref="B38:B42"/>
    <mergeCell ref="B43:C43"/>
    <mergeCell ref="B44:C44"/>
    <mergeCell ref="A45:C45"/>
    <mergeCell ref="A1:P1"/>
    <mergeCell ref="A2:C2"/>
    <mergeCell ref="A3:A19"/>
    <mergeCell ref="B3:B9"/>
    <mergeCell ref="B10:B16"/>
    <mergeCell ref="B17:C17"/>
    <mergeCell ref="B18:C18"/>
    <mergeCell ref="B19:C19"/>
  </mergeCells>
  <phoneticPr fontId="14" type="noConversion"/>
  <pageMargins left="1.3385826771653544" right="0.51181102362204722" top="0.70866141732283472" bottom="0.35433070866141736" header="0.11811023622047245" footer="0.11811023622047245"/>
  <pageSetup paperSize="9" scale="53" fitToWidth="2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R57"/>
  <sheetViews>
    <sheetView zoomScale="75" zoomScaleNormal="75" workbookViewId="0">
      <pane xSplit="3" ySplit="2" topLeftCell="D3" activePane="bottomRight" state="frozen"/>
      <selection pane="topRight" activeCell="D1" sqref="D1"/>
      <selection pane="bottomLeft" activeCell="A3" sqref="A3"/>
      <selection pane="bottomRight" activeCell="R19" sqref="R19"/>
    </sheetView>
  </sheetViews>
  <sheetFormatPr defaultRowHeight="13.5" x14ac:dyDescent="0.15"/>
  <cols>
    <col min="1" max="1" width="5.21875" customWidth="1"/>
    <col min="2" max="2" width="5.44140625" customWidth="1"/>
    <col min="3" max="3" width="11.44140625" customWidth="1"/>
    <col min="4" max="13" width="13.5546875" customWidth="1"/>
    <col min="14" max="14" width="13.5546875" style="65" customWidth="1"/>
    <col min="15" max="15" width="13.5546875" customWidth="1"/>
    <col min="16" max="16" width="14.6640625" style="2" customWidth="1"/>
    <col min="18" max="18" width="9.88671875" bestFit="1" customWidth="1"/>
  </cols>
  <sheetData>
    <row r="1" spans="1:18" ht="51" customHeight="1" thickBot="1" x14ac:dyDescent="0.2">
      <c r="A1" s="223" t="s">
        <v>156</v>
      </c>
      <c r="B1" s="223"/>
      <c r="C1" s="223"/>
      <c r="D1" s="223"/>
      <c r="E1" s="223"/>
      <c r="F1" s="223"/>
      <c r="G1" s="223"/>
      <c r="H1" s="223"/>
      <c r="I1" s="223"/>
      <c r="J1" s="223"/>
      <c r="K1" s="223"/>
      <c r="L1" s="223"/>
      <c r="M1" s="223"/>
      <c r="N1" s="223"/>
      <c r="O1" s="223"/>
      <c r="P1" s="223"/>
    </row>
    <row r="2" spans="1:18" ht="25.5" customHeight="1" x14ac:dyDescent="0.15">
      <c r="A2" s="224" t="s">
        <v>13</v>
      </c>
      <c r="B2" s="225"/>
      <c r="C2" s="226"/>
      <c r="D2" s="79" t="s">
        <v>0</v>
      </c>
      <c r="E2" s="79" t="s">
        <v>1</v>
      </c>
      <c r="F2" s="79" t="s">
        <v>2</v>
      </c>
      <c r="G2" s="79" t="s">
        <v>3</v>
      </c>
      <c r="H2" s="79" t="s">
        <v>4</v>
      </c>
      <c r="I2" s="79" t="s">
        <v>5</v>
      </c>
      <c r="J2" s="79" t="s">
        <v>6</v>
      </c>
      <c r="K2" s="79" t="s">
        <v>7</v>
      </c>
      <c r="L2" s="79" t="s">
        <v>8</v>
      </c>
      <c r="M2" s="79" t="s">
        <v>9</v>
      </c>
      <c r="N2" s="79" t="s">
        <v>10</v>
      </c>
      <c r="O2" s="79" t="s">
        <v>11</v>
      </c>
      <c r="P2" s="9" t="s">
        <v>44</v>
      </c>
    </row>
    <row r="3" spans="1:18" ht="19.899999999999999" customHeight="1" x14ac:dyDescent="0.15">
      <c r="A3" s="227" t="s">
        <v>14</v>
      </c>
      <c r="B3" s="211" t="s">
        <v>122</v>
      </c>
      <c r="C3" s="78" t="s">
        <v>16</v>
      </c>
      <c r="D3" s="66">
        <v>49805</v>
      </c>
      <c r="E3" s="22">
        <v>56069</v>
      </c>
      <c r="F3" s="22">
        <v>61943</v>
      </c>
      <c r="G3" s="22">
        <f>395+57002</f>
        <v>57397</v>
      </c>
      <c r="H3" s="22">
        <v>60009</v>
      </c>
      <c r="I3" s="22">
        <f>53801+1</f>
        <v>53802</v>
      </c>
      <c r="J3" s="22">
        <f>55052+1</f>
        <v>55053</v>
      </c>
      <c r="K3" s="22">
        <v>44293</v>
      </c>
      <c r="L3" s="22">
        <v>42903</v>
      </c>
      <c r="M3" s="22">
        <v>40703</v>
      </c>
      <c r="N3" s="22">
        <v>55916</v>
      </c>
      <c r="O3" s="22">
        <v>55735</v>
      </c>
      <c r="P3" s="67">
        <f t="shared" ref="P3:P18" si="0">SUM(D3:O3)</f>
        <v>633628</v>
      </c>
      <c r="R3" s="80"/>
    </row>
    <row r="4" spans="1:18" ht="19.899999999999999" customHeight="1" x14ac:dyDescent="0.15">
      <c r="A4" s="228"/>
      <c r="B4" s="212"/>
      <c r="C4" s="78" t="s">
        <v>17</v>
      </c>
      <c r="D4" s="66">
        <v>7839</v>
      </c>
      <c r="E4" s="22">
        <f>3212+6369</f>
        <v>9581</v>
      </c>
      <c r="F4" s="22">
        <f>7141+3692</f>
        <v>10833</v>
      </c>
      <c r="G4" s="22">
        <f>5378+4898</f>
        <v>10276</v>
      </c>
      <c r="H4" s="22">
        <f>4426+3421+404</f>
        <v>8251</v>
      </c>
      <c r="I4" s="22">
        <f>3818+404+4997</f>
        <v>9219</v>
      </c>
      <c r="J4" s="22">
        <f>3097+2778+4273</f>
        <v>10148</v>
      </c>
      <c r="K4" s="22">
        <f>1970+1818+2800</f>
        <v>6588</v>
      </c>
      <c r="L4" s="22">
        <v>7808</v>
      </c>
      <c r="M4" s="22">
        <v>9628</v>
      </c>
      <c r="N4" s="22">
        <v>11799</v>
      </c>
      <c r="O4" s="22">
        <v>9763</v>
      </c>
      <c r="P4" s="67">
        <f t="shared" si="0"/>
        <v>111733</v>
      </c>
      <c r="R4" s="80"/>
    </row>
    <row r="5" spans="1:18" ht="19.899999999999999" customHeight="1" x14ac:dyDescent="0.15">
      <c r="A5" s="228"/>
      <c r="B5" s="212"/>
      <c r="C5" s="78" t="s">
        <v>18</v>
      </c>
      <c r="D5" s="66">
        <v>1682</v>
      </c>
      <c r="E5" s="22">
        <f>166+1231</f>
        <v>1397</v>
      </c>
      <c r="F5" s="22">
        <f>1500+66</f>
        <v>1566</v>
      </c>
      <c r="G5" s="22">
        <v>1188</v>
      </c>
      <c r="H5" s="22">
        <f>1782+62</f>
        <v>1844</v>
      </c>
      <c r="I5" s="22">
        <f>82+1805</f>
        <v>1887</v>
      </c>
      <c r="J5" s="22">
        <v>2301</v>
      </c>
      <c r="K5" s="22">
        <v>1462</v>
      </c>
      <c r="L5" s="22">
        <v>2060</v>
      </c>
      <c r="M5" s="22">
        <v>1665</v>
      </c>
      <c r="N5" s="22">
        <v>764</v>
      </c>
      <c r="O5" s="22">
        <v>391</v>
      </c>
      <c r="P5" s="67">
        <f t="shared" si="0"/>
        <v>18207</v>
      </c>
      <c r="R5" s="80"/>
    </row>
    <row r="6" spans="1:18" ht="19.899999999999999" customHeight="1" x14ac:dyDescent="0.15">
      <c r="A6" s="228"/>
      <c r="B6" s="212"/>
      <c r="C6" s="78" t="s">
        <v>118</v>
      </c>
      <c r="D6" s="22">
        <v>0</v>
      </c>
      <c r="E6" s="22">
        <v>0</v>
      </c>
      <c r="F6" s="22">
        <v>0</v>
      </c>
      <c r="G6" s="22">
        <v>0</v>
      </c>
      <c r="H6" s="22">
        <v>0</v>
      </c>
      <c r="I6" s="22">
        <v>0</v>
      </c>
      <c r="J6" s="22">
        <v>0</v>
      </c>
      <c r="K6" s="22">
        <v>0</v>
      </c>
      <c r="L6" s="22" t="s">
        <v>157</v>
      </c>
      <c r="M6" s="22">
        <v>0</v>
      </c>
      <c r="N6" s="22">
        <v>0</v>
      </c>
      <c r="O6" s="22">
        <v>0</v>
      </c>
      <c r="P6" s="67">
        <f t="shared" si="0"/>
        <v>0</v>
      </c>
      <c r="R6" s="80"/>
    </row>
    <row r="7" spans="1:18" ht="19.899999999999999" customHeight="1" x14ac:dyDescent="0.15">
      <c r="A7" s="228"/>
      <c r="B7" s="212"/>
      <c r="C7" s="78" t="s">
        <v>119</v>
      </c>
      <c r="D7" s="22">
        <v>0</v>
      </c>
      <c r="E7" s="22">
        <v>0</v>
      </c>
      <c r="F7" s="22">
        <v>0</v>
      </c>
      <c r="G7" s="22">
        <v>0</v>
      </c>
      <c r="H7" s="22">
        <v>50</v>
      </c>
      <c r="I7" s="22">
        <v>0</v>
      </c>
      <c r="J7" s="22">
        <v>0</v>
      </c>
      <c r="K7" s="22">
        <v>0</v>
      </c>
      <c r="L7" s="22" t="s">
        <v>157</v>
      </c>
      <c r="M7" s="22">
        <v>0</v>
      </c>
      <c r="N7" s="22">
        <v>0</v>
      </c>
      <c r="O7" s="22">
        <v>0</v>
      </c>
      <c r="P7" s="67">
        <f t="shared" si="0"/>
        <v>50</v>
      </c>
      <c r="R7" s="80"/>
    </row>
    <row r="8" spans="1:18" ht="19.899999999999999" customHeight="1" x14ac:dyDescent="0.15">
      <c r="A8" s="228"/>
      <c r="B8" s="212"/>
      <c r="C8" s="78" t="s">
        <v>19</v>
      </c>
      <c r="D8" s="66">
        <v>128</v>
      </c>
      <c r="E8" s="22">
        <v>0</v>
      </c>
      <c r="F8" s="22">
        <f>257+173</f>
        <v>430</v>
      </c>
      <c r="G8" s="22">
        <v>31</v>
      </c>
      <c r="H8" s="22">
        <f>342+32</f>
        <v>374</v>
      </c>
      <c r="I8" s="22">
        <f>1+229</f>
        <v>230</v>
      </c>
      <c r="J8" s="22">
        <v>28</v>
      </c>
      <c r="K8" s="22">
        <v>78</v>
      </c>
      <c r="L8" s="22">
        <v>36</v>
      </c>
      <c r="M8" s="22">
        <v>161</v>
      </c>
      <c r="N8" s="22">
        <v>211</v>
      </c>
      <c r="O8" s="22">
        <v>138</v>
      </c>
      <c r="P8" s="67">
        <f t="shared" si="0"/>
        <v>1845</v>
      </c>
      <c r="R8" s="80"/>
    </row>
    <row r="9" spans="1:18" ht="19.899999999999999" customHeight="1" x14ac:dyDescent="0.15">
      <c r="A9" s="228"/>
      <c r="B9" s="213"/>
      <c r="C9" s="3" t="s">
        <v>22</v>
      </c>
      <c r="D9" s="23">
        <f t="shared" ref="D9:O9" si="1">SUM(D3:D8)</f>
        <v>59454</v>
      </c>
      <c r="E9" s="23">
        <f t="shared" si="1"/>
        <v>67047</v>
      </c>
      <c r="F9" s="23">
        <f t="shared" si="1"/>
        <v>74772</v>
      </c>
      <c r="G9" s="23">
        <f t="shared" si="1"/>
        <v>68892</v>
      </c>
      <c r="H9" s="23">
        <f t="shared" si="1"/>
        <v>70528</v>
      </c>
      <c r="I9" s="23">
        <f t="shared" si="1"/>
        <v>65138</v>
      </c>
      <c r="J9" s="23">
        <f t="shared" si="1"/>
        <v>67530</v>
      </c>
      <c r="K9" s="23">
        <f t="shared" si="1"/>
        <v>52421</v>
      </c>
      <c r="L9" s="23">
        <f t="shared" si="1"/>
        <v>52807</v>
      </c>
      <c r="M9" s="23">
        <f t="shared" si="1"/>
        <v>52157</v>
      </c>
      <c r="N9" s="23">
        <f t="shared" si="1"/>
        <v>68690</v>
      </c>
      <c r="O9" s="23">
        <f t="shared" si="1"/>
        <v>66027</v>
      </c>
      <c r="P9" s="67">
        <f t="shared" si="0"/>
        <v>765463</v>
      </c>
      <c r="R9" s="80"/>
    </row>
    <row r="10" spans="1:18" ht="19.899999999999999" customHeight="1" x14ac:dyDescent="0.15">
      <c r="A10" s="228"/>
      <c r="B10" s="211" t="s">
        <v>123</v>
      </c>
      <c r="C10" s="15" t="s">
        <v>120</v>
      </c>
      <c r="D10" s="66">
        <v>27</v>
      </c>
      <c r="E10" s="22">
        <f>3+69</f>
        <v>72</v>
      </c>
      <c r="F10" s="22">
        <v>164</v>
      </c>
      <c r="G10" s="66">
        <v>4</v>
      </c>
      <c r="H10" s="66">
        <f>98+22</f>
        <v>120</v>
      </c>
      <c r="I10" s="66">
        <f>10+134</f>
        <v>144</v>
      </c>
      <c r="J10" s="66">
        <f>3+28</f>
        <v>31</v>
      </c>
      <c r="K10" s="66">
        <f>93+8</f>
        <v>101</v>
      </c>
      <c r="L10" s="66">
        <v>45</v>
      </c>
      <c r="M10" s="66">
        <v>34</v>
      </c>
      <c r="N10" s="66">
        <v>93</v>
      </c>
      <c r="O10" s="66">
        <v>19</v>
      </c>
      <c r="P10" s="67">
        <f t="shared" si="0"/>
        <v>854</v>
      </c>
      <c r="R10" s="80"/>
    </row>
    <row r="11" spans="1:18" ht="19.899999999999999" customHeight="1" x14ac:dyDescent="0.15">
      <c r="A11" s="228"/>
      <c r="B11" s="212"/>
      <c r="C11" s="15" t="s">
        <v>17</v>
      </c>
      <c r="D11" s="66">
        <v>18</v>
      </c>
      <c r="E11" s="22">
        <f>17+10</f>
        <v>27</v>
      </c>
      <c r="F11" s="22">
        <v>1</v>
      </c>
      <c r="G11" s="66">
        <v>0</v>
      </c>
      <c r="H11" s="66">
        <f>3+3</f>
        <v>6</v>
      </c>
      <c r="I11" s="66">
        <v>17</v>
      </c>
      <c r="J11" s="66">
        <f>62+1</f>
        <v>63</v>
      </c>
      <c r="K11" s="66">
        <f>4+24</f>
        <v>28</v>
      </c>
      <c r="L11" s="66">
        <v>64</v>
      </c>
      <c r="M11" s="66">
        <v>4</v>
      </c>
      <c r="N11" s="66">
        <v>0</v>
      </c>
      <c r="O11" s="66">
        <v>59</v>
      </c>
      <c r="P11" s="67">
        <f t="shared" si="0"/>
        <v>287</v>
      </c>
      <c r="R11" s="80"/>
    </row>
    <row r="12" spans="1:18" ht="19.899999999999999" customHeight="1" x14ac:dyDescent="0.15">
      <c r="A12" s="228"/>
      <c r="B12" s="212"/>
      <c r="C12" s="15" t="s">
        <v>132</v>
      </c>
      <c r="D12" s="66">
        <v>85</v>
      </c>
      <c r="E12" s="22">
        <v>25</v>
      </c>
      <c r="F12" s="22">
        <v>31</v>
      </c>
      <c r="G12" s="66">
        <v>28</v>
      </c>
      <c r="H12" s="66">
        <v>10</v>
      </c>
      <c r="I12" s="66">
        <v>100</v>
      </c>
      <c r="J12" s="66">
        <v>30</v>
      </c>
      <c r="K12" s="66">
        <v>55</v>
      </c>
      <c r="L12" s="66">
        <v>61</v>
      </c>
      <c r="M12" s="66">
        <v>0</v>
      </c>
      <c r="N12" s="66">
        <v>13</v>
      </c>
      <c r="O12" s="66">
        <v>20</v>
      </c>
      <c r="P12" s="67">
        <f t="shared" si="0"/>
        <v>458</v>
      </c>
      <c r="R12" s="80"/>
    </row>
    <row r="13" spans="1:18" ht="19.899999999999999" customHeight="1" x14ac:dyDescent="0.15">
      <c r="A13" s="228"/>
      <c r="B13" s="212"/>
      <c r="C13" s="15" t="s">
        <v>138</v>
      </c>
      <c r="D13" s="66">
        <v>114</v>
      </c>
      <c r="E13" s="22">
        <v>229</v>
      </c>
      <c r="F13" s="22">
        <v>110</v>
      </c>
      <c r="G13" s="66">
        <v>79</v>
      </c>
      <c r="H13" s="66">
        <v>153</v>
      </c>
      <c r="I13" s="66">
        <v>201</v>
      </c>
      <c r="J13" s="66">
        <v>354</v>
      </c>
      <c r="K13" s="66">
        <v>140</v>
      </c>
      <c r="L13" s="66">
        <v>102</v>
      </c>
      <c r="M13" s="66">
        <v>70</v>
      </c>
      <c r="N13" s="66">
        <v>77</v>
      </c>
      <c r="O13" s="66">
        <v>42</v>
      </c>
      <c r="P13" s="67">
        <f t="shared" si="0"/>
        <v>1671</v>
      </c>
      <c r="R13" s="80"/>
    </row>
    <row r="14" spans="1:18" ht="19.899999999999999" customHeight="1" x14ac:dyDescent="0.15">
      <c r="A14" s="228"/>
      <c r="B14" s="212"/>
      <c r="C14" s="15" t="s">
        <v>137</v>
      </c>
      <c r="D14" s="66">
        <v>100</v>
      </c>
      <c r="E14" s="22">
        <v>46</v>
      </c>
      <c r="F14" s="22">
        <v>67</v>
      </c>
      <c r="G14" s="66">
        <v>101</v>
      </c>
      <c r="H14" s="66">
        <v>34</v>
      </c>
      <c r="I14" s="66">
        <v>15</v>
      </c>
      <c r="J14" s="66">
        <v>72</v>
      </c>
      <c r="K14" s="66">
        <v>12</v>
      </c>
      <c r="L14" s="66">
        <v>40</v>
      </c>
      <c r="M14" s="66">
        <v>76</v>
      </c>
      <c r="N14" s="66">
        <v>10</v>
      </c>
      <c r="O14" s="66">
        <v>61</v>
      </c>
      <c r="P14" s="67">
        <f t="shared" si="0"/>
        <v>634</v>
      </c>
      <c r="R14" s="80"/>
    </row>
    <row r="15" spans="1:18" ht="19.899999999999999" customHeight="1" x14ac:dyDescent="0.15">
      <c r="A15" s="228"/>
      <c r="B15" s="212"/>
      <c r="C15" s="15" t="s">
        <v>19</v>
      </c>
      <c r="D15" s="66">
        <v>0</v>
      </c>
      <c r="E15" s="22">
        <f>4+16</f>
        <v>20</v>
      </c>
      <c r="F15" s="22">
        <v>2</v>
      </c>
      <c r="G15" s="66">
        <v>5</v>
      </c>
      <c r="H15" s="66">
        <v>0</v>
      </c>
      <c r="I15" s="66">
        <v>0</v>
      </c>
      <c r="J15" s="66">
        <v>0</v>
      </c>
      <c r="K15" s="66">
        <v>0</v>
      </c>
      <c r="L15" s="66" t="s">
        <v>157</v>
      </c>
      <c r="M15" s="66">
        <v>0</v>
      </c>
      <c r="N15" s="66">
        <v>0</v>
      </c>
      <c r="O15" s="66">
        <v>0</v>
      </c>
      <c r="P15" s="67">
        <f t="shared" si="0"/>
        <v>27</v>
      </c>
      <c r="R15" s="80"/>
    </row>
    <row r="16" spans="1:18" ht="19.899999999999999" customHeight="1" x14ac:dyDescent="0.15">
      <c r="A16" s="228"/>
      <c r="B16" s="213"/>
      <c r="C16" s="3" t="s">
        <v>22</v>
      </c>
      <c r="D16" s="23">
        <f t="shared" ref="D16:O16" si="2">SUM(D10:D15)</f>
        <v>344</v>
      </c>
      <c r="E16" s="23">
        <f t="shared" si="2"/>
        <v>419</v>
      </c>
      <c r="F16" s="23">
        <f t="shared" si="2"/>
        <v>375</v>
      </c>
      <c r="G16" s="23">
        <f t="shared" si="2"/>
        <v>217</v>
      </c>
      <c r="H16" s="23">
        <f t="shared" si="2"/>
        <v>323</v>
      </c>
      <c r="I16" s="23">
        <f t="shared" si="2"/>
        <v>477</v>
      </c>
      <c r="J16" s="23">
        <f t="shared" si="2"/>
        <v>550</v>
      </c>
      <c r="K16" s="23">
        <f t="shared" si="2"/>
        <v>336</v>
      </c>
      <c r="L16" s="23">
        <f t="shared" si="2"/>
        <v>312</v>
      </c>
      <c r="M16" s="23">
        <f t="shared" si="2"/>
        <v>184</v>
      </c>
      <c r="N16" s="23">
        <f t="shared" si="2"/>
        <v>193</v>
      </c>
      <c r="O16" s="23">
        <f t="shared" si="2"/>
        <v>201</v>
      </c>
      <c r="P16" s="67">
        <f t="shared" si="0"/>
        <v>3931</v>
      </c>
      <c r="R16" s="80"/>
    </row>
    <row r="17" spans="1:18" ht="19.5" customHeight="1" x14ac:dyDescent="0.15">
      <c r="A17" s="228"/>
      <c r="B17" s="214" t="s">
        <v>20</v>
      </c>
      <c r="C17" s="215"/>
      <c r="D17" s="66">
        <v>1602</v>
      </c>
      <c r="E17" s="22">
        <f>5+1062</f>
        <v>1067</v>
      </c>
      <c r="F17" s="22">
        <f>927+2</f>
        <v>929</v>
      </c>
      <c r="G17" s="66">
        <f>3+916</f>
        <v>919</v>
      </c>
      <c r="H17" s="66">
        <f>1477+188</f>
        <v>1665</v>
      </c>
      <c r="I17" s="66">
        <v>1962</v>
      </c>
      <c r="J17" s="66">
        <v>1419</v>
      </c>
      <c r="K17" s="66">
        <v>1353</v>
      </c>
      <c r="L17" s="66">
        <v>1153</v>
      </c>
      <c r="M17" s="66">
        <v>297</v>
      </c>
      <c r="N17" s="66">
        <v>668</v>
      </c>
      <c r="O17" s="66">
        <v>590</v>
      </c>
      <c r="P17" s="67">
        <f t="shared" si="0"/>
        <v>13624</v>
      </c>
      <c r="R17" s="80"/>
    </row>
    <row r="18" spans="1:18" ht="19.899999999999999" customHeight="1" x14ac:dyDescent="0.15">
      <c r="A18" s="228"/>
      <c r="B18" s="216" t="s">
        <v>127</v>
      </c>
      <c r="C18" s="217"/>
      <c r="D18" s="66">
        <v>28</v>
      </c>
      <c r="E18" s="22">
        <f>7+28</f>
        <v>35</v>
      </c>
      <c r="F18" s="22">
        <v>105</v>
      </c>
      <c r="G18" s="22">
        <f>1+151</f>
        <v>152</v>
      </c>
      <c r="H18" s="22">
        <v>209</v>
      </c>
      <c r="I18" s="22">
        <v>121</v>
      </c>
      <c r="J18" s="22">
        <v>69</v>
      </c>
      <c r="K18" s="22">
        <v>62</v>
      </c>
      <c r="L18" s="22">
        <v>86</v>
      </c>
      <c r="M18" s="22">
        <v>67</v>
      </c>
      <c r="N18" s="22">
        <v>106</v>
      </c>
      <c r="O18" s="22">
        <v>61</v>
      </c>
      <c r="P18" s="67">
        <f t="shared" si="0"/>
        <v>1101</v>
      </c>
      <c r="R18" s="80"/>
    </row>
    <row r="19" spans="1:18" ht="26.45" customHeight="1" x14ac:dyDescent="0.15">
      <c r="A19" s="229"/>
      <c r="B19" s="230" t="s">
        <v>39</v>
      </c>
      <c r="C19" s="231"/>
      <c r="D19" s="24">
        <f t="shared" ref="D19:O19" si="3">D9+D18+D16+D17</f>
        <v>61428</v>
      </c>
      <c r="E19" s="24">
        <f t="shared" si="3"/>
        <v>68568</v>
      </c>
      <c r="F19" s="24">
        <f t="shared" si="3"/>
        <v>76181</v>
      </c>
      <c r="G19" s="24">
        <f t="shared" si="3"/>
        <v>70180</v>
      </c>
      <c r="H19" s="24">
        <f t="shared" si="3"/>
        <v>72725</v>
      </c>
      <c r="I19" s="24">
        <f t="shared" si="3"/>
        <v>67698</v>
      </c>
      <c r="J19" s="24">
        <f t="shared" si="3"/>
        <v>69568</v>
      </c>
      <c r="K19" s="24">
        <f t="shared" si="3"/>
        <v>54172</v>
      </c>
      <c r="L19" s="24">
        <f>L9+L18+L16+L17</f>
        <v>54358</v>
      </c>
      <c r="M19" s="24">
        <f t="shared" si="3"/>
        <v>52705</v>
      </c>
      <c r="N19" s="24">
        <f>N9+N18+N16+N17</f>
        <v>69657</v>
      </c>
      <c r="O19" s="24">
        <f t="shared" si="3"/>
        <v>66879</v>
      </c>
      <c r="P19" s="68">
        <f t="shared" ref="P19:P29" si="4">SUM(D19:O19)</f>
        <v>784119</v>
      </c>
      <c r="R19" s="80">
        <f>SUM(D19:M19)</f>
        <v>647583</v>
      </c>
    </row>
    <row r="20" spans="1:18" ht="19.5" customHeight="1" x14ac:dyDescent="0.15">
      <c r="A20" s="227" t="s">
        <v>21</v>
      </c>
      <c r="B20" s="211" t="s">
        <v>125</v>
      </c>
      <c r="C20" s="78" t="s">
        <v>25</v>
      </c>
      <c r="D20" s="22">
        <v>6630</v>
      </c>
      <c r="E20" s="22">
        <f>5076+2169</f>
        <v>7245</v>
      </c>
      <c r="F20" s="22">
        <f>2935+4190</f>
        <v>7125</v>
      </c>
      <c r="G20" s="22">
        <f>9237+2138</f>
        <v>11375</v>
      </c>
      <c r="H20" s="22">
        <f>1469+7370</f>
        <v>8839</v>
      </c>
      <c r="I20" s="22">
        <f>4651+899</f>
        <v>5550</v>
      </c>
      <c r="J20" s="22">
        <f>4066+3846</f>
        <v>7912</v>
      </c>
      <c r="K20" s="22">
        <f>1761+1804</f>
        <v>3565</v>
      </c>
      <c r="L20" s="22">
        <v>6347</v>
      </c>
      <c r="M20" s="22">
        <v>4391</v>
      </c>
      <c r="N20" s="22">
        <v>11025</v>
      </c>
      <c r="O20" s="22">
        <v>5877</v>
      </c>
      <c r="P20" s="67">
        <f t="shared" si="4"/>
        <v>85881</v>
      </c>
      <c r="R20" s="80"/>
    </row>
    <row r="21" spans="1:18" ht="20.100000000000001" customHeight="1" x14ac:dyDescent="0.15">
      <c r="A21" s="228"/>
      <c r="B21" s="212"/>
      <c r="C21" s="78" t="s">
        <v>26</v>
      </c>
      <c r="D21" s="22">
        <v>9876</v>
      </c>
      <c r="E21" s="22">
        <v>3348</v>
      </c>
      <c r="F21" s="22">
        <f>8393+378</f>
        <v>8771</v>
      </c>
      <c r="G21" s="22">
        <f>123+7415</f>
        <v>7538</v>
      </c>
      <c r="H21" s="22">
        <f>7779+584</f>
        <v>8363</v>
      </c>
      <c r="I21" s="22">
        <v>7148</v>
      </c>
      <c r="J21" s="22">
        <f>549+5542</f>
        <v>6091</v>
      </c>
      <c r="K21" s="22">
        <f>5285+50</f>
        <v>5335</v>
      </c>
      <c r="L21" s="22">
        <v>5877</v>
      </c>
      <c r="M21" s="22">
        <v>9064</v>
      </c>
      <c r="N21" s="22">
        <v>4743</v>
      </c>
      <c r="O21" s="22">
        <v>4840</v>
      </c>
      <c r="P21" s="67">
        <f t="shared" si="4"/>
        <v>80994</v>
      </c>
      <c r="R21" s="80"/>
    </row>
    <row r="22" spans="1:18" ht="20.100000000000001" customHeight="1" x14ac:dyDescent="0.15">
      <c r="A22" s="228"/>
      <c r="B22" s="212"/>
      <c r="C22" s="78" t="s">
        <v>23</v>
      </c>
      <c r="D22" s="22">
        <v>3155</v>
      </c>
      <c r="E22" s="22">
        <v>1730</v>
      </c>
      <c r="F22" s="22">
        <f>2004+281</f>
        <v>2285</v>
      </c>
      <c r="G22" s="22">
        <f>117+1806</f>
        <v>1923</v>
      </c>
      <c r="H22" s="22">
        <f>2905+305</f>
        <v>3210</v>
      </c>
      <c r="I22" s="22">
        <v>2416</v>
      </c>
      <c r="J22" s="22">
        <f>263+2171</f>
        <v>2434</v>
      </c>
      <c r="K22" s="22">
        <f>1523+216</f>
        <v>1739</v>
      </c>
      <c r="L22" s="22">
        <v>17</v>
      </c>
      <c r="M22" s="22">
        <v>1051</v>
      </c>
      <c r="N22" s="22">
        <v>111</v>
      </c>
      <c r="O22" s="22">
        <v>1437</v>
      </c>
      <c r="P22" s="67">
        <f t="shared" si="4"/>
        <v>21508</v>
      </c>
      <c r="R22" s="80"/>
    </row>
    <row r="23" spans="1:18" ht="20.100000000000001" customHeight="1" x14ac:dyDescent="0.15">
      <c r="A23" s="228"/>
      <c r="B23" s="212"/>
      <c r="C23" s="78" t="s">
        <v>24</v>
      </c>
      <c r="D23" s="22">
        <v>3297</v>
      </c>
      <c r="E23" s="22">
        <v>965</v>
      </c>
      <c r="F23" s="22">
        <f>653+625</f>
        <v>1278</v>
      </c>
      <c r="G23" s="22">
        <f>44+751</f>
        <v>795</v>
      </c>
      <c r="H23" s="22">
        <f>1563+358</f>
        <v>1921</v>
      </c>
      <c r="I23" s="22">
        <v>1040</v>
      </c>
      <c r="J23" s="22">
        <f>1087+195</f>
        <v>1282</v>
      </c>
      <c r="K23" s="22">
        <f>321+95</f>
        <v>416</v>
      </c>
      <c r="L23" s="22">
        <v>18</v>
      </c>
      <c r="M23" s="22">
        <v>1199</v>
      </c>
      <c r="N23" s="22">
        <v>3</v>
      </c>
      <c r="O23" s="22">
        <v>575</v>
      </c>
      <c r="P23" s="67">
        <f t="shared" si="4"/>
        <v>12789</v>
      </c>
      <c r="R23" s="80"/>
    </row>
    <row r="24" spans="1:18" ht="20.100000000000001" customHeight="1" x14ac:dyDescent="0.15">
      <c r="A24" s="228"/>
      <c r="B24" s="212"/>
      <c r="C24" s="78" t="s">
        <v>28</v>
      </c>
      <c r="D24" s="22">
        <v>459</v>
      </c>
      <c r="E24" s="22">
        <v>85</v>
      </c>
      <c r="F24" s="22">
        <f>60+1290</f>
        <v>1350</v>
      </c>
      <c r="G24" s="22">
        <f>728+40</f>
        <v>768</v>
      </c>
      <c r="H24" s="22">
        <f>119+374</f>
        <v>493</v>
      </c>
      <c r="I24" s="22">
        <f>146+160</f>
        <v>306</v>
      </c>
      <c r="J24" s="22">
        <f>179+103</f>
        <v>282</v>
      </c>
      <c r="K24" s="22">
        <f>8+497</f>
        <v>505</v>
      </c>
      <c r="L24" s="22">
        <v>15</v>
      </c>
      <c r="M24" s="22">
        <v>226</v>
      </c>
      <c r="N24" s="22">
        <v>830</v>
      </c>
      <c r="O24" s="22">
        <v>350</v>
      </c>
      <c r="P24" s="67">
        <f t="shared" si="4"/>
        <v>5669</v>
      </c>
      <c r="R24" s="80"/>
    </row>
    <row r="25" spans="1:18" ht="20.100000000000001" customHeight="1" x14ac:dyDescent="0.15">
      <c r="A25" s="228"/>
      <c r="B25" s="212"/>
      <c r="C25" s="78" t="s">
        <v>29</v>
      </c>
      <c r="D25" s="22">
        <v>14</v>
      </c>
      <c r="E25" s="22">
        <v>0</v>
      </c>
      <c r="F25" s="22">
        <v>2</v>
      </c>
      <c r="G25" s="22">
        <v>0</v>
      </c>
      <c r="H25" s="22">
        <v>0</v>
      </c>
      <c r="I25" s="22">
        <v>0</v>
      </c>
      <c r="J25" s="22">
        <v>0</v>
      </c>
      <c r="K25" s="22">
        <v>0</v>
      </c>
      <c r="L25" s="22">
        <v>0</v>
      </c>
      <c r="M25" s="22">
        <v>0</v>
      </c>
      <c r="N25" s="22">
        <v>0</v>
      </c>
      <c r="O25" s="22">
        <v>0</v>
      </c>
      <c r="P25" s="67">
        <f t="shared" si="4"/>
        <v>16</v>
      </c>
      <c r="R25" s="80"/>
    </row>
    <row r="26" spans="1:18" ht="20.100000000000001" customHeight="1" x14ac:dyDescent="0.15">
      <c r="A26" s="228"/>
      <c r="B26" s="212"/>
      <c r="C26" s="78" t="s">
        <v>30</v>
      </c>
      <c r="D26" s="22">
        <v>1077</v>
      </c>
      <c r="E26" s="22">
        <v>258</v>
      </c>
      <c r="F26" s="22">
        <v>771</v>
      </c>
      <c r="G26" s="22">
        <v>407</v>
      </c>
      <c r="H26" s="22">
        <v>461</v>
      </c>
      <c r="I26" s="22">
        <v>471</v>
      </c>
      <c r="J26" s="22">
        <v>171</v>
      </c>
      <c r="K26" s="22">
        <v>97</v>
      </c>
      <c r="L26" s="22">
        <v>253</v>
      </c>
      <c r="M26" s="22">
        <v>104</v>
      </c>
      <c r="N26" s="22">
        <v>202</v>
      </c>
      <c r="O26" s="22">
        <v>191</v>
      </c>
      <c r="P26" s="67">
        <f t="shared" si="4"/>
        <v>4463</v>
      </c>
      <c r="R26" s="80"/>
    </row>
    <row r="27" spans="1:18" ht="20.100000000000001" customHeight="1" x14ac:dyDescent="0.15">
      <c r="A27" s="228"/>
      <c r="B27" s="212"/>
      <c r="C27" s="78" t="s">
        <v>34</v>
      </c>
      <c r="D27" s="22">
        <v>0</v>
      </c>
      <c r="E27" s="22">
        <v>0</v>
      </c>
      <c r="F27" s="22">
        <v>0</v>
      </c>
      <c r="G27" s="22">
        <v>0</v>
      </c>
      <c r="H27" s="22">
        <v>0</v>
      </c>
      <c r="I27" s="22">
        <v>0</v>
      </c>
      <c r="J27" s="69">
        <v>0</v>
      </c>
      <c r="K27" s="69">
        <v>0</v>
      </c>
      <c r="L27" s="69">
        <v>0</v>
      </c>
      <c r="M27" s="69">
        <v>0</v>
      </c>
      <c r="N27" s="22">
        <v>0</v>
      </c>
      <c r="O27" s="22">
        <v>0</v>
      </c>
      <c r="P27" s="67">
        <f t="shared" si="4"/>
        <v>0</v>
      </c>
      <c r="R27" s="80"/>
    </row>
    <row r="28" spans="1:18" ht="20.100000000000001" customHeight="1" x14ac:dyDescent="0.15">
      <c r="A28" s="228"/>
      <c r="B28" s="212"/>
      <c r="C28" s="78" t="s">
        <v>33</v>
      </c>
      <c r="D28" s="22">
        <v>2296</v>
      </c>
      <c r="E28" s="22">
        <v>741</v>
      </c>
      <c r="F28" s="22">
        <v>1348</v>
      </c>
      <c r="G28" s="22">
        <v>466</v>
      </c>
      <c r="H28" s="22">
        <v>1361</v>
      </c>
      <c r="I28" s="22">
        <v>1030</v>
      </c>
      <c r="J28" s="22">
        <v>1331</v>
      </c>
      <c r="K28" s="22">
        <v>1011</v>
      </c>
      <c r="L28" s="22">
        <v>200</v>
      </c>
      <c r="M28" s="22">
        <v>817</v>
      </c>
      <c r="N28" s="22">
        <v>338</v>
      </c>
      <c r="O28" s="22">
        <v>1066</v>
      </c>
      <c r="P28" s="67">
        <f t="shared" si="4"/>
        <v>12005</v>
      </c>
      <c r="R28" s="80"/>
    </row>
    <row r="29" spans="1:18" ht="20.100000000000001" customHeight="1" x14ac:dyDescent="0.15">
      <c r="A29" s="228"/>
      <c r="B29" s="212"/>
      <c r="C29" s="78" t="s">
        <v>31</v>
      </c>
      <c r="D29" s="22">
        <v>1733</v>
      </c>
      <c r="E29" s="22">
        <v>978</v>
      </c>
      <c r="F29" s="22">
        <v>3351</v>
      </c>
      <c r="G29" s="22">
        <v>1079</v>
      </c>
      <c r="H29" s="22">
        <v>1637</v>
      </c>
      <c r="I29" s="22">
        <v>2670</v>
      </c>
      <c r="J29" s="22">
        <v>1147</v>
      </c>
      <c r="K29" s="22">
        <v>1061</v>
      </c>
      <c r="L29" s="22">
        <v>1055</v>
      </c>
      <c r="M29" s="22">
        <v>1212</v>
      </c>
      <c r="N29" s="22">
        <v>2269</v>
      </c>
      <c r="O29" s="22">
        <v>837</v>
      </c>
      <c r="P29" s="67">
        <f t="shared" si="4"/>
        <v>19029</v>
      </c>
      <c r="R29" s="80"/>
    </row>
    <row r="30" spans="1:18" ht="20.100000000000001" customHeight="1" x14ac:dyDescent="0.15">
      <c r="A30" s="228"/>
      <c r="B30" s="212"/>
      <c r="C30" s="78" t="s">
        <v>110</v>
      </c>
      <c r="D30" s="22">
        <v>1240</v>
      </c>
      <c r="E30" s="22">
        <f>286+3310</f>
        <v>3596</v>
      </c>
      <c r="F30" s="22">
        <f>1886+281</f>
        <v>2167</v>
      </c>
      <c r="G30" s="22">
        <f>200+1926</f>
        <v>2126</v>
      </c>
      <c r="H30" s="22">
        <f>1383+335</f>
        <v>1718</v>
      </c>
      <c r="I30" s="22">
        <f>152+1460</f>
        <v>1612</v>
      </c>
      <c r="J30" s="22">
        <f>176+1363</f>
        <v>1539</v>
      </c>
      <c r="K30" s="22">
        <f>1088+175</f>
        <v>1263</v>
      </c>
      <c r="L30" s="22">
        <v>1628</v>
      </c>
      <c r="M30" s="22">
        <v>1884</v>
      </c>
      <c r="N30" s="22">
        <v>1682</v>
      </c>
      <c r="O30" s="22">
        <v>2449</v>
      </c>
      <c r="P30" s="67">
        <f t="shared" ref="P30:P47" si="5">SUM(D30:O30)</f>
        <v>22904</v>
      </c>
      <c r="R30" s="80"/>
    </row>
    <row r="31" spans="1:18" ht="20.100000000000001" customHeight="1" x14ac:dyDescent="0.15">
      <c r="A31" s="228"/>
      <c r="B31" s="212"/>
      <c r="C31" s="78" t="s">
        <v>27</v>
      </c>
      <c r="D31" s="22">
        <v>1309</v>
      </c>
      <c r="E31" s="22">
        <v>0</v>
      </c>
      <c r="F31" s="22">
        <v>728</v>
      </c>
      <c r="G31" s="22">
        <v>113</v>
      </c>
      <c r="H31" s="22">
        <v>61</v>
      </c>
      <c r="I31" s="22">
        <v>0</v>
      </c>
      <c r="J31" s="22">
        <v>0</v>
      </c>
      <c r="K31" s="22">
        <v>0</v>
      </c>
      <c r="L31" s="22">
        <v>0</v>
      </c>
      <c r="M31" s="22">
        <v>135</v>
      </c>
      <c r="N31" s="22">
        <v>329</v>
      </c>
      <c r="O31" s="22">
        <v>17</v>
      </c>
      <c r="P31" s="67">
        <f t="shared" si="5"/>
        <v>2692</v>
      </c>
      <c r="R31" s="80"/>
    </row>
    <row r="32" spans="1:18" ht="20.100000000000001" customHeight="1" x14ac:dyDescent="0.15">
      <c r="A32" s="228"/>
      <c r="B32" s="212"/>
      <c r="C32" s="78" t="s">
        <v>32</v>
      </c>
      <c r="D32" s="22">
        <v>163</v>
      </c>
      <c r="E32" s="22">
        <v>49</v>
      </c>
      <c r="F32" s="22">
        <v>165</v>
      </c>
      <c r="G32" s="22">
        <v>386</v>
      </c>
      <c r="H32" s="22">
        <v>313</v>
      </c>
      <c r="I32" s="22">
        <v>187</v>
      </c>
      <c r="J32" s="22">
        <v>396</v>
      </c>
      <c r="K32" s="22">
        <v>32</v>
      </c>
      <c r="L32" s="22">
        <v>203</v>
      </c>
      <c r="M32" s="22">
        <v>107</v>
      </c>
      <c r="N32" s="22">
        <v>46</v>
      </c>
      <c r="O32" s="22">
        <v>232</v>
      </c>
      <c r="P32" s="67">
        <f t="shared" si="5"/>
        <v>2279</v>
      </c>
      <c r="R32" s="80"/>
    </row>
    <row r="33" spans="1:18" ht="20.100000000000001" customHeight="1" x14ac:dyDescent="0.15">
      <c r="A33" s="228"/>
      <c r="B33" s="212"/>
      <c r="C33" s="78" t="s">
        <v>50</v>
      </c>
      <c r="D33" s="22">
        <v>138</v>
      </c>
      <c r="E33" s="22">
        <v>76</v>
      </c>
      <c r="F33" s="22">
        <v>13</v>
      </c>
      <c r="G33" s="22">
        <v>172</v>
      </c>
      <c r="H33" s="22">
        <v>107</v>
      </c>
      <c r="I33" s="22">
        <v>110</v>
      </c>
      <c r="J33" s="22">
        <v>66</v>
      </c>
      <c r="K33" s="22">
        <v>43</v>
      </c>
      <c r="L33" s="22" t="s">
        <v>157</v>
      </c>
      <c r="M33" s="22">
        <v>61</v>
      </c>
      <c r="N33" s="22">
        <v>114</v>
      </c>
      <c r="O33" s="22">
        <v>34</v>
      </c>
      <c r="P33" s="67">
        <f t="shared" si="5"/>
        <v>934</v>
      </c>
      <c r="R33" s="80"/>
    </row>
    <row r="34" spans="1:18" ht="20.100000000000001" customHeight="1" x14ac:dyDescent="0.15">
      <c r="A34" s="228"/>
      <c r="B34" s="212"/>
      <c r="C34" s="78" t="s">
        <v>98</v>
      </c>
      <c r="D34" s="22">
        <v>73</v>
      </c>
      <c r="E34" s="22">
        <v>0</v>
      </c>
      <c r="F34" s="22">
        <v>0</v>
      </c>
      <c r="G34" s="22">
        <v>72</v>
      </c>
      <c r="H34" s="22">
        <v>71</v>
      </c>
      <c r="I34" s="22">
        <v>110</v>
      </c>
      <c r="J34" s="22">
        <v>145</v>
      </c>
      <c r="K34" s="22">
        <v>141</v>
      </c>
      <c r="L34" s="22">
        <v>254</v>
      </c>
      <c r="M34" s="22">
        <v>470</v>
      </c>
      <c r="N34" s="22">
        <v>195</v>
      </c>
      <c r="O34" s="22">
        <v>582</v>
      </c>
      <c r="P34" s="67">
        <f t="shared" si="5"/>
        <v>2113</v>
      </c>
      <c r="R34" s="80"/>
    </row>
    <row r="35" spans="1:18" ht="20.100000000000001" customHeight="1" x14ac:dyDescent="0.15">
      <c r="A35" s="228"/>
      <c r="B35" s="212"/>
      <c r="C35" s="78" t="s">
        <v>131</v>
      </c>
      <c r="D35" s="22">
        <v>0</v>
      </c>
      <c r="E35" s="22">
        <v>0</v>
      </c>
      <c r="F35" s="22">
        <v>0</v>
      </c>
      <c r="G35" s="70">
        <v>0</v>
      </c>
      <c r="H35" s="70">
        <v>0</v>
      </c>
      <c r="I35" s="70">
        <v>0</v>
      </c>
      <c r="J35" s="70">
        <v>0</v>
      </c>
      <c r="K35" s="71">
        <v>0</v>
      </c>
      <c r="L35" s="22">
        <v>0</v>
      </c>
      <c r="M35" s="72">
        <v>0</v>
      </c>
      <c r="N35" s="22">
        <v>0</v>
      </c>
      <c r="O35" s="72">
        <v>0</v>
      </c>
      <c r="P35" s="67">
        <f t="shared" si="5"/>
        <v>0</v>
      </c>
      <c r="R35" s="80"/>
    </row>
    <row r="36" spans="1:18" ht="20.100000000000001" customHeight="1" x14ac:dyDescent="0.15">
      <c r="A36" s="228"/>
      <c r="B36" s="212"/>
      <c r="C36" s="78" t="s">
        <v>19</v>
      </c>
      <c r="D36" s="22">
        <v>799</v>
      </c>
      <c r="E36" s="22">
        <f>1998+233</f>
        <v>2231</v>
      </c>
      <c r="F36" s="22">
        <f>243+685</f>
        <v>928</v>
      </c>
      <c r="G36" s="22">
        <f>919+447</f>
        <v>1366</v>
      </c>
      <c r="H36" s="22">
        <f>591+1260</f>
        <v>1851</v>
      </c>
      <c r="I36" s="22">
        <f>669+480</f>
        <v>1149</v>
      </c>
      <c r="J36" s="22">
        <f>338+451</f>
        <v>789</v>
      </c>
      <c r="K36" s="22">
        <f>254+4130</f>
        <v>4384</v>
      </c>
      <c r="L36" s="22">
        <v>3520</v>
      </c>
      <c r="M36" s="22">
        <v>5461</v>
      </c>
      <c r="N36" s="22">
        <v>1069</v>
      </c>
      <c r="O36" s="22">
        <v>263</v>
      </c>
      <c r="P36" s="67">
        <f>SUM(D36:O36)</f>
        <v>23810</v>
      </c>
      <c r="R36" s="80"/>
    </row>
    <row r="37" spans="1:18" ht="20.100000000000001" customHeight="1" x14ac:dyDescent="0.15">
      <c r="A37" s="228"/>
      <c r="B37" s="213"/>
      <c r="C37" s="19" t="s">
        <v>130</v>
      </c>
      <c r="D37" s="25">
        <f t="shared" ref="D37:O37" si="6">SUM(D20:D36)</f>
        <v>32259</v>
      </c>
      <c r="E37" s="25">
        <f t="shared" si="6"/>
        <v>21302</v>
      </c>
      <c r="F37" s="25">
        <f t="shared" si="6"/>
        <v>30282</v>
      </c>
      <c r="G37" s="25">
        <f t="shared" si="6"/>
        <v>28586</v>
      </c>
      <c r="H37" s="25">
        <f t="shared" si="6"/>
        <v>30406</v>
      </c>
      <c r="I37" s="25">
        <f t="shared" si="6"/>
        <v>23799</v>
      </c>
      <c r="J37" s="25">
        <f t="shared" si="6"/>
        <v>23585</v>
      </c>
      <c r="K37" s="25">
        <f t="shared" si="6"/>
        <v>19592</v>
      </c>
      <c r="L37" s="25">
        <f t="shared" si="6"/>
        <v>19387</v>
      </c>
      <c r="M37" s="25">
        <f t="shared" si="6"/>
        <v>26182</v>
      </c>
      <c r="N37" s="25">
        <f t="shared" si="6"/>
        <v>22956</v>
      </c>
      <c r="O37" s="25">
        <f t="shared" si="6"/>
        <v>18750</v>
      </c>
      <c r="P37" s="67">
        <f t="shared" si="5"/>
        <v>297086</v>
      </c>
      <c r="R37" s="80"/>
    </row>
    <row r="38" spans="1:18" ht="20.100000000000001" customHeight="1" x14ac:dyDescent="0.15">
      <c r="A38" s="228"/>
      <c r="B38" s="211" t="s">
        <v>124</v>
      </c>
      <c r="C38" s="78" t="s">
        <v>36</v>
      </c>
      <c r="D38" s="22">
        <v>221</v>
      </c>
      <c r="E38" s="22">
        <v>69</v>
      </c>
      <c r="F38" s="22">
        <v>197</v>
      </c>
      <c r="G38" s="22">
        <v>126</v>
      </c>
      <c r="H38" s="22">
        <v>112</v>
      </c>
      <c r="I38" s="22">
        <v>84</v>
      </c>
      <c r="J38" s="22">
        <v>60</v>
      </c>
      <c r="K38" s="22">
        <v>100</v>
      </c>
      <c r="L38" s="22">
        <v>53</v>
      </c>
      <c r="M38" s="22">
        <v>85</v>
      </c>
      <c r="N38" s="22">
        <v>15</v>
      </c>
      <c r="O38" s="22">
        <v>120</v>
      </c>
      <c r="P38" s="67">
        <f t="shared" si="5"/>
        <v>1242</v>
      </c>
      <c r="R38" s="80"/>
    </row>
    <row r="39" spans="1:18" ht="20.100000000000001" customHeight="1" x14ac:dyDescent="0.15">
      <c r="A39" s="228"/>
      <c r="B39" s="212"/>
      <c r="C39" s="78" t="s">
        <v>46</v>
      </c>
      <c r="D39" s="22">
        <v>151</v>
      </c>
      <c r="E39" s="22">
        <v>0</v>
      </c>
      <c r="F39" s="22">
        <v>19</v>
      </c>
      <c r="G39" s="22">
        <v>50</v>
      </c>
      <c r="H39" s="22">
        <v>34</v>
      </c>
      <c r="I39" s="22">
        <v>33</v>
      </c>
      <c r="J39" s="22">
        <v>16</v>
      </c>
      <c r="K39" s="22">
        <v>23</v>
      </c>
      <c r="L39" s="22">
        <v>42</v>
      </c>
      <c r="M39" s="22">
        <v>140</v>
      </c>
      <c r="N39" s="22">
        <v>53</v>
      </c>
      <c r="O39" s="22">
        <v>237</v>
      </c>
      <c r="P39" s="67">
        <f t="shared" si="5"/>
        <v>798</v>
      </c>
      <c r="R39" s="80"/>
    </row>
    <row r="40" spans="1:18" ht="20.100000000000001" customHeight="1" x14ac:dyDescent="0.15">
      <c r="A40" s="228"/>
      <c r="B40" s="212"/>
      <c r="C40" s="78" t="s">
        <v>136</v>
      </c>
      <c r="D40" s="22">
        <v>254</v>
      </c>
      <c r="E40" s="22">
        <v>33</v>
      </c>
      <c r="F40" s="22">
        <v>345</v>
      </c>
      <c r="G40" s="22">
        <v>56</v>
      </c>
      <c r="H40" s="22">
        <v>53</v>
      </c>
      <c r="I40" s="22">
        <v>200</v>
      </c>
      <c r="J40" s="22">
        <v>55</v>
      </c>
      <c r="K40" s="22">
        <v>98</v>
      </c>
      <c r="L40" s="22">
        <v>148</v>
      </c>
      <c r="M40" s="22">
        <v>151</v>
      </c>
      <c r="N40" s="22">
        <v>95</v>
      </c>
      <c r="O40" s="22">
        <v>324</v>
      </c>
      <c r="P40" s="67">
        <f t="shared" si="5"/>
        <v>1812</v>
      </c>
      <c r="R40" s="80"/>
    </row>
    <row r="41" spans="1:18" ht="20.100000000000001" customHeight="1" x14ac:dyDescent="0.15">
      <c r="A41" s="228"/>
      <c r="B41" s="212"/>
      <c r="C41" s="78" t="s">
        <v>19</v>
      </c>
      <c r="D41" s="22">
        <v>368</v>
      </c>
      <c r="E41" s="22">
        <f>101+41</f>
        <v>142</v>
      </c>
      <c r="F41" s="22">
        <f>91+39</f>
        <v>130</v>
      </c>
      <c r="G41" s="22">
        <f>43+161</f>
        <v>204</v>
      </c>
      <c r="H41" s="22">
        <f>117+52</f>
        <v>169</v>
      </c>
      <c r="I41" s="22">
        <f>30+542</f>
        <v>572</v>
      </c>
      <c r="J41" s="22">
        <f>13+238</f>
        <v>251</v>
      </c>
      <c r="K41" s="22">
        <f>406+40</f>
        <v>446</v>
      </c>
      <c r="L41" s="22">
        <v>201</v>
      </c>
      <c r="M41" s="22">
        <v>391</v>
      </c>
      <c r="N41" s="22">
        <v>237</v>
      </c>
      <c r="O41" s="22">
        <v>163</v>
      </c>
      <c r="P41" s="67">
        <f t="shared" si="5"/>
        <v>3274</v>
      </c>
      <c r="R41" s="80"/>
    </row>
    <row r="42" spans="1:18" ht="20.100000000000001" customHeight="1" x14ac:dyDescent="0.15">
      <c r="A42" s="228"/>
      <c r="B42" s="213"/>
      <c r="C42" s="19" t="s">
        <v>130</v>
      </c>
      <c r="D42" s="25">
        <f t="shared" ref="D42:O42" si="7">SUM(D38:D41)</f>
        <v>994</v>
      </c>
      <c r="E42" s="25">
        <f t="shared" si="7"/>
        <v>244</v>
      </c>
      <c r="F42" s="25">
        <f t="shared" si="7"/>
        <v>691</v>
      </c>
      <c r="G42" s="25">
        <f t="shared" si="7"/>
        <v>436</v>
      </c>
      <c r="H42" s="25">
        <f t="shared" si="7"/>
        <v>368</v>
      </c>
      <c r="I42" s="25">
        <f t="shared" si="7"/>
        <v>889</v>
      </c>
      <c r="J42" s="25">
        <f t="shared" si="7"/>
        <v>382</v>
      </c>
      <c r="K42" s="25">
        <f t="shared" si="7"/>
        <v>667</v>
      </c>
      <c r="L42" s="25">
        <f t="shared" si="7"/>
        <v>444</v>
      </c>
      <c r="M42" s="25">
        <f t="shared" si="7"/>
        <v>767</v>
      </c>
      <c r="N42" s="25">
        <f t="shared" si="7"/>
        <v>400</v>
      </c>
      <c r="O42" s="25">
        <f t="shared" si="7"/>
        <v>844</v>
      </c>
      <c r="P42" s="67">
        <f t="shared" si="5"/>
        <v>7126</v>
      </c>
      <c r="R42" s="80"/>
    </row>
    <row r="43" spans="1:18" ht="20.100000000000001" customHeight="1" x14ac:dyDescent="0.15">
      <c r="A43" s="228"/>
      <c r="B43" s="216" t="s">
        <v>127</v>
      </c>
      <c r="C43" s="217"/>
      <c r="D43" s="22">
        <v>391</v>
      </c>
      <c r="E43" s="22">
        <f>127+158</f>
        <v>285</v>
      </c>
      <c r="F43" s="22">
        <f>110+199</f>
        <v>309</v>
      </c>
      <c r="G43" s="22">
        <f>146+154</f>
        <v>300</v>
      </c>
      <c r="H43" s="22">
        <f>332+74</f>
        <v>406</v>
      </c>
      <c r="I43" s="22">
        <f>59+293</f>
        <v>352</v>
      </c>
      <c r="J43" s="22">
        <f>97+99</f>
        <v>196</v>
      </c>
      <c r="K43" s="22">
        <f>231+77</f>
        <v>308</v>
      </c>
      <c r="L43" s="22">
        <v>92</v>
      </c>
      <c r="M43" s="22">
        <v>148</v>
      </c>
      <c r="N43" s="22">
        <v>165</v>
      </c>
      <c r="O43" s="22">
        <v>101</v>
      </c>
      <c r="P43" s="67">
        <f t="shared" si="5"/>
        <v>3053</v>
      </c>
      <c r="R43" s="80"/>
    </row>
    <row r="44" spans="1:18" ht="24.75" customHeight="1" x14ac:dyDescent="0.15">
      <c r="A44" s="229"/>
      <c r="B44" s="230" t="s">
        <v>40</v>
      </c>
      <c r="C44" s="231"/>
      <c r="D44" s="24">
        <f t="shared" ref="D44:O44" si="8">D37+D42+D43</f>
        <v>33644</v>
      </c>
      <c r="E44" s="24">
        <f t="shared" si="8"/>
        <v>21831</v>
      </c>
      <c r="F44" s="24">
        <f t="shared" si="8"/>
        <v>31282</v>
      </c>
      <c r="G44" s="24">
        <f t="shared" si="8"/>
        <v>29322</v>
      </c>
      <c r="H44" s="24">
        <f t="shared" si="8"/>
        <v>31180</v>
      </c>
      <c r="I44" s="24">
        <f t="shared" si="8"/>
        <v>25040</v>
      </c>
      <c r="J44" s="24">
        <f t="shared" si="8"/>
        <v>24163</v>
      </c>
      <c r="K44" s="24">
        <f t="shared" si="8"/>
        <v>20567</v>
      </c>
      <c r="L44" s="24">
        <f t="shared" si="8"/>
        <v>19923</v>
      </c>
      <c r="M44" s="24">
        <f t="shared" si="8"/>
        <v>27097</v>
      </c>
      <c r="N44" s="24">
        <f>N37+N42+N43</f>
        <v>23521</v>
      </c>
      <c r="O44" s="24">
        <f t="shared" si="8"/>
        <v>19695</v>
      </c>
      <c r="P44" s="68">
        <f t="shared" si="5"/>
        <v>307265</v>
      </c>
      <c r="R44" s="80"/>
    </row>
    <row r="45" spans="1:18" s="2" customFormat="1" ht="26.45" customHeight="1" x14ac:dyDescent="0.15">
      <c r="A45" s="235" t="s">
        <v>41</v>
      </c>
      <c r="B45" s="236"/>
      <c r="C45" s="237"/>
      <c r="D45" s="26">
        <f t="shared" ref="D45:O45" si="9">SUM(D19,D44)</f>
        <v>95072</v>
      </c>
      <c r="E45" s="26">
        <f t="shared" si="9"/>
        <v>90399</v>
      </c>
      <c r="F45" s="26">
        <f t="shared" si="9"/>
        <v>107463</v>
      </c>
      <c r="G45" s="26">
        <f t="shared" si="9"/>
        <v>99502</v>
      </c>
      <c r="H45" s="26">
        <f t="shared" si="9"/>
        <v>103905</v>
      </c>
      <c r="I45" s="26">
        <f t="shared" si="9"/>
        <v>92738</v>
      </c>
      <c r="J45" s="26">
        <f t="shared" si="9"/>
        <v>93731</v>
      </c>
      <c r="K45" s="26">
        <f t="shared" si="9"/>
        <v>74739</v>
      </c>
      <c r="L45" s="26">
        <f>SUM(L19,L44)</f>
        <v>74281</v>
      </c>
      <c r="M45" s="26">
        <f t="shared" si="9"/>
        <v>79802</v>
      </c>
      <c r="N45" s="26">
        <f t="shared" si="9"/>
        <v>93178</v>
      </c>
      <c r="O45" s="26">
        <f t="shared" si="9"/>
        <v>86574</v>
      </c>
      <c r="P45" s="73">
        <f t="shared" si="5"/>
        <v>1091384</v>
      </c>
      <c r="R45" s="80"/>
    </row>
    <row r="46" spans="1:18" ht="19.5" customHeight="1" x14ac:dyDescent="0.15">
      <c r="A46" s="218" t="s">
        <v>43</v>
      </c>
      <c r="B46" s="219"/>
      <c r="C46" s="217"/>
      <c r="D46" s="22">
        <v>55944</v>
      </c>
      <c r="E46" s="22">
        <f>23668+19033</f>
        <v>42701</v>
      </c>
      <c r="F46" s="22">
        <f>32122+28872</f>
        <v>60994</v>
      </c>
      <c r="G46" s="22">
        <f>19476+23704</f>
        <v>43180</v>
      </c>
      <c r="H46" s="22">
        <f>21391+22469</f>
        <v>43860</v>
      </c>
      <c r="I46" s="22">
        <f>17251+16635</f>
        <v>33886</v>
      </c>
      <c r="J46" s="22">
        <f>21940+25901</f>
        <v>47841</v>
      </c>
      <c r="K46" s="22">
        <f>14163+14816</f>
        <v>28979</v>
      </c>
      <c r="L46" s="22">
        <v>31712</v>
      </c>
      <c r="M46" s="22">
        <v>24429</v>
      </c>
      <c r="N46" s="22">
        <v>42711</v>
      </c>
      <c r="O46" s="22">
        <v>50852</v>
      </c>
      <c r="P46" s="67">
        <f t="shared" si="5"/>
        <v>507089</v>
      </c>
      <c r="R46" s="80"/>
    </row>
    <row r="47" spans="1:18" ht="20.100000000000001" customHeight="1" x14ac:dyDescent="0.15">
      <c r="A47" s="218" t="s">
        <v>129</v>
      </c>
      <c r="B47" s="219"/>
      <c r="C47" s="217"/>
      <c r="D47" s="74">
        <v>1937</v>
      </c>
      <c r="E47" s="22">
        <f>93+505</f>
        <v>598</v>
      </c>
      <c r="F47" s="22">
        <f>823+797</f>
        <v>1620</v>
      </c>
      <c r="G47" s="74">
        <f>1313+1181</f>
        <v>2494</v>
      </c>
      <c r="H47" s="74">
        <f>568+1001</f>
        <v>1569</v>
      </c>
      <c r="I47" s="74">
        <f>746+706</f>
        <v>1452</v>
      </c>
      <c r="J47" s="74">
        <f>599+728</f>
        <v>1327</v>
      </c>
      <c r="K47" s="74">
        <f>1240+50</f>
        <v>1290</v>
      </c>
      <c r="L47" s="74">
        <v>1720</v>
      </c>
      <c r="M47" s="74">
        <v>986</v>
      </c>
      <c r="N47" s="74">
        <v>2075</v>
      </c>
      <c r="O47" s="74">
        <v>1017</v>
      </c>
      <c r="P47" s="75">
        <f t="shared" si="5"/>
        <v>18085</v>
      </c>
      <c r="R47" s="80"/>
    </row>
    <row r="48" spans="1:18" s="2" customFormat="1" ht="27.75" customHeight="1" thickBot="1" x14ac:dyDescent="0.2">
      <c r="A48" s="232" t="s">
        <v>42</v>
      </c>
      <c r="B48" s="233"/>
      <c r="C48" s="234"/>
      <c r="D48" s="76">
        <f t="shared" ref="D48:O48" si="10">D45+D46+D47</f>
        <v>152953</v>
      </c>
      <c r="E48" s="76">
        <f t="shared" si="10"/>
        <v>133698</v>
      </c>
      <c r="F48" s="76">
        <f t="shared" si="10"/>
        <v>170077</v>
      </c>
      <c r="G48" s="76">
        <f t="shared" si="10"/>
        <v>145176</v>
      </c>
      <c r="H48" s="76">
        <f t="shared" si="10"/>
        <v>149334</v>
      </c>
      <c r="I48" s="76">
        <f t="shared" si="10"/>
        <v>128076</v>
      </c>
      <c r="J48" s="76">
        <f t="shared" si="10"/>
        <v>142899</v>
      </c>
      <c r="K48" s="76">
        <f t="shared" si="10"/>
        <v>105008</v>
      </c>
      <c r="L48" s="76">
        <f t="shared" si="10"/>
        <v>107713</v>
      </c>
      <c r="M48" s="76">
        <f t="shared" si="10"/>
        <v>105217</v>
      </c>
      <c r="N48" s="76">
        <f t="shared" si="10"/>
        <v>137964</v>
      </c>
      <c r="O48" s="76">
        <f t="shared" si="10"/>
        <v>138443</v>
      </c>
      <c r="P48" s="77">
        <f>SUM(D48:O48)</f>
        <v>1616558</v>
      </c>
      <c r="R48" s="80"/>
    </row>
    <row r="49" spans="4:12" ht="20.100000000000001" customHeight="1" x14ac:dyDescent="0.15"/>
    <row r="50" spans="4:12" x14ac:dyDescent="0.15">
      <c r="L50" s="29"/>
    </row>
    <row r="51" spans="4:12" x14ac:dyDescent="0.15">
      <c r="F51" s="29"/>
    </row>
    <row r="54" spans="4:12" x14ac:dyDescent="0.15">
      <c r="D54" s="29"/>
      <c r="E54" s="29"/>
    </row>
    <row r="55" spans="4:12" x14ac:dyDescent="0.15">
      <c r="D55" s="29"/>
    </row>
    <row r="56" spans="4:12" x14ac:dyDescent="0.15">
      <c r="D56" s="29"/>
    </row>
    <row r="57" spans="4:12" x14ac:dyDescent="0.15">
      <c r="D57" s="29"/>
    </row>
  </sheetData>
  <mergeCells count="17">
    <mergeCell ref="A1:P1"/>
    <mergeCell ref="A2:C2"/>
    <mergeCell ref="A3:A19"/>
    <mergeCell ref="B3:B9"/>
    <mergeCell ref="B10:B16"/>
    <mergeCell ref="B17:C17"/>
    <mergeCell ref="B18:C18"/>
    <mergeCell ref="B19:C19"/>
    <mergeCell ref="A46:C46"/>
    <mergeCell ref="A47:C47"/>
    <mergeCell ref="A48:C48"/>
    <mergeCell ref="A20:A44"/>
    <mergeCell ref="B20:B37"/>
    <mergeCell ref="B38:B42"/>
    <mergeCell ref="B43:C43"/>
    <mergeCell ref="B44:C44"/>
    <mergeCell ref="A45:C45"/>
  </mergeCells>
  <phoneticPr fontId="14" type="noConversion"/>
  <pageMargins left="1.3385826771653544" right="0.51181102362204722" top="0.70866141732283472" bottom="0.35433070866141736" header="0.11811023622047245" footer="0.11811023622047245"/>
  <pageSetup paperSize="9" scale="50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R57"/>
  <sheetViews>
    <sheetView zoomScale="80" zoomScaleNormal="80" workbookViewId="0">
      <pane xSplit="3" ySplit="2" topLeftCell="D3" activePane="bottomRight" state="frozen"/>
      <selection pane="topRight" activeCell="D1" sqref="D1"/>
      <selection pane="bottomLeft" activeCell="A3" sqref="A3"/>
      <selection pane="bottomRight" activeCell="R19" sqref="R19"/>
    </sheetView>
  </sheetViews>
  <sheetFormatPr defaultRowHeight="13.5" x14ac:dyDescent="0.15"/>
  <cols>
    <col min="1" max="1" width="5.21875" customWidth="1"/>
    <col min="2" max="2" width="5.44140625" customWidth="1"/>
    <col min="3" max="3" width="11.44140625" customWidth="1"/>
    <col min="4" max="13" width="13.5546875" customWidth="1"/>
    <col min="14" max="14" width="13.5546875" style="65" customWidth="1"/>
    <col min="15" max="15" width="13.5546875" customWidth="1"/>
    <col min="16" max="16" width="14.6640625" style="2" customWidth="1"/>
    <col min="18" max="18" width="10.109375" bestFit="1" customWidth="1"/>
  </cols>
  <sheetData>
    <row r="1" spans="1:18" ht="51" customHeight="1" thickBot="1" x14ac:dyDescent="0.2">
      <c r="A1" s="223" t="s">
        <v>158</v>
      </c>
      <c r="B1" s="223"/>
      <c r="C1" s="223"/>
      <c r="D1" s="223"/>
      <c r="E1" s="223"/>
      <c r="F1" s="223"/>
      <c r="G1" s="223"/>
      <c r="H1" s="223"/>
      <c r="I1" s="223"/>
      <c r="J1" s="223"/>
      <c r="K1" s="223"/>
      <c r="L1" s="223"/>
      <c r="M1" s="223"/>
      <c r="N1" s="223"/>
      <c r="O1" s="223"/>
      <c r="P1" s="223"/>
    </row>
    <row r="2" spans="1:18" ht="25.5" customHeight="1" x14ac:dyDescent="0.15">
      <c r="A2" s="224" t="s">
        <v>13</v>
      </c>
      <c r="B2" s="225"/>
      <c r="C2" s="226"/>
      <c r="D2" s="82" t="s">
        <v>0</v>
      </c>
      <c r="E2" s="82" t="s">
        <v>1</v>
      </c>
      <c r="F2" s="82" t="s">
        <v>2</v>
      </c>
      <c r="G2" s="82" t="s">
        <v>3</v>
      </c>
      <c r="H2" s="82" t="s">
        <v>4</v>
      </c>
      <c r="I2" s="82" t="s">
        <v>5</v>
      </c>
      <c r="J2" s="82" t="s">
        <v>6</v>
      </c>
      <c r="K2" s="82" t="s">
        <v>7</v>
      </c>
      <c r="L2" s="82" t="s">
        <v>8</v>
      </c>
      <c r="M2" s="82" t="s">
        <v>9</v>
      </c>
      <c r="N2" s="82" t="s">
        <v>10</v>
      </c>
      <c r="O2" s="82" t="s">
        <v>11</v>
      </c>
      <c r="P2" s="9" t="s">
        <v>44</v>
      </c>
    </row>
    <row r="3" spans="1:18" ht="19.899999999999999" customHeight="1" x14ac:dyDescent="0.15">
      <c r="A3" s="227" t="s">
        <v>14</v>
      </c>
      <c r="B3" s="211" t="s">
        <v>122</v>
      </c>
      <c r="C3" s="81" t="s">
        <v>16</v>
      </c>
      <c r="D3" s="84">
        <v>49708</v>
      </c>
      <c r="E3" s="22">
        <v>46381</v>
      </c>
      <c r="F3" s="91">
        <v>52742</v>
      </c>
      <c r="G3" s="91">
        <v>57478</v>
      </c>
      <c r="H3" s="22">
        <v>57044</v>
      </c>
      <c r="I3" s="22"/>
      <c r="J3" s="22"/>
      <c r="K3" s="22"/>
      <c r="L3" s="22"/>
      <c r="M3" s="22"/>
      <c r="N3" s="22"/>
      <c r="O3" s="22"/>
      <c r="P3" s="67">
        <f t="shared" ref="P3:P18" si="0">SUM(D3:O3)</f>
        <v>263353</v>
      </c>
      <c r="R3" s="80"/>
    </row>
    <row r="4" spans="1:18" ht="19.899999999999999" customHeight="1" x14ac:dyDescent="0.15">
      <c r="A4" s="228"/>
      <c r="B4" s="212"/>
      <c r="C4" s="81" t="s">
        <v>17</v>
      </c>
      <c r="D4" s="84">
        <f>1427+381+1198</f>
        <v>3006</v>
      </c>
      <c r="E4" s="22">
        <f>1248+3131+33</f>
        <v>4412</v>
      </c>
      <c r="F4" s="91">
        <v>12155</v>
      </c>
      <c r="G4" s="91">
        <v>13275</v>
      </c>
      <c r="H4" s="22">
        <v>13708</v>
      </c>
      <c r="I4" s="22"/>
      <c r="J4" s="22"/>
      <c r="K4" s="22"/>
      <c r="L4" s="22"/>
      <c r="M4" s="22"/>
      <c r="N4" s="22"/>
      <c r="O4" s="22"/>
      <c r="P4" s="67">
        <f t="shared" si="0"/>
        <v>46556</v>
      </c>
      <c r="R4" s="80"/>
    </row>
    <row r="5" spans="1:18" ht="19.899999999999999" customHeight="1" x14ac:dyDescent="0.15">
      <c r="A5" s="228"/>
      <c r="B5" s="212"/>
      <c r="C5" s="81" t="s">
        <v>18</v>
      </c>
      <c r="D5" s="84">
        <f>1+1097</f>
        <v>1098</v>
      </c>
      <c r="E5" s="22">
        <f>174+2284</f>
        <v>2458</v>
      </c>
      <c r="F5" s="91">
        <v>1730</v>
      </c>
      <c r="G5" s="91">
        <v>2206</v>
      </c>
      <c r="H5" s="22">
        <v>2033</v>
      </c>
      <c r="I5" s="22"/>
      <c r="J5" s="22"/>
      <c r="K5" s="22"/>
      <c r="L5" s="22"/>
      <c r="M5" s="22"/>
      <c r="N5" s="22"/>
      <c r="O5" s="22"/>
      <c r="P5" s="67">
        <f t="shared" si="0"/>
        <v>9525</v>
      </c>
      <c r="R5" s="80"/>
    </row>
    <row r="6" spans="1:18" ht="19.899999999999999" customHeight="1" x14ac:dyDescent="0.15">
      <c r="A6" s="228"/>
      <c r="B6" s="212"/>
      <c r="C6" s="81" t="s">
        <v>118</v>
      </c>
      <c r="D6" s="83">
        <v>0</v>
      </c>
      <c r="E6" s="22">
        <v>14</v>
      </c>
      <c r="F6" s="91">
        <f t="shared" ref="F6:F7" si="1">J6+N6+R6</f>
        <v>0</v>
      </c>
      <c r="G6" s="91">
        <f t="shared" ref="G6:G15" si="2">K6+O6+S6</f>
        <v>0</v>
      </c>
      <c r="H6" s="22">
        <v>0</v>
      </c>
      <c r="I6" s="22"/>
      <c r="J6" s="22"/>
      <c r="K6" s="22"/>
      <c r="L6" s="22"/>
      <c r="M6" s="22"/>
      <c r="N6" s="22"/>
      <c r="O6" s="22"/>
      <c r="P6" s="67">
        <f t="shared" si="0"/>
        <v>14</v>
      </c>
      <c r="R6" s="80"/>
    </row>
    <row r="7" spans="1:18" ht="19.899999999999999" customHeight="1" x14ac:dyDescent="0.15">
      <c r="A7" s="228"/>
      <c r="B7" s="212"/>
      <c r="C7" s="81" t="s">
        <v>119</v>
      </c>
      <c r="D7" s="83">
        <v>0</v>
      </c>
      <c r="E7" s="22">
        <v>0</v>
      </c>
      <c r="F7" s="91">
        <f t="shared" si="1"/>
        <v>0</v>
      </c>
      <c r="G7" s="91">
        <f t="shared" si="2"/>
        <v>0</v>
      </c>
      <c r="H7" s="22">
        <v>0</v>
      </c>
      <c r="I7" s="22"/>
      <c r="J7" s="22"/>
      <c r="K7" s="22"/>
      <c r="L7" s="22"/>
      <c r="M7" s="22"/>
      <c r="N7" s="22"/>
      <c r="O7" s="22"/>
      <c r="P7" s="67">
        <f t="shared" si="0"/>
        <v>0</v>
      </c>
      <c r="R7" s="80"/>
    </row>
    <row r="8" spans="1:18" ht="19.899999999999999" customHeight="1" x14ac:dyDescent="0.15">
      <c r="A8" s="228"/>
      <c r="B8" s="212"/>
      <c r="C8" s="81" t="s">
        <v>19</v>
      </c>
      <c r="D8" s="84">
        <f>682+231</f>
        <v>913</v>
      </c>
      <c r="E8" s="22">
        <f>4+189</f>
        <v>193</v>
      </c>
      <c r="F8" s="91">
        <v>200</v>
      </c>
      <c r="G8" s="91">
        <v>85</v>
      </c>
      <c r="H8" s="22">
        <v>90</v>
      </c>
      <c r="I8" s="22"/>
      <c r="J8" s="22"/>
      <c r="K8" s="22"/>
      <c r="L8" s="22"/>
      <c r="M8" s="22"/>
      <c r="N8" s="22"/>
      <c r="O8" s="22"/>
      <c r="P8" s="67">
        <f t="shared" si="0"/>
        <v>1481</v>
      </c>
      <c r="R8" s="80"/>
    </row>
    <row r="9" spans="1:18" ht="19.899999999999999" customHeight="1" x14ac:dyDescent="0.15">
      <c r="A9" s="228"/>
      <c r="B9" s="213"/>
      <c r="C9" s="3" t="s">
        <v>22</v>
      </c>
      <c r="D9" s="23">
        <f t="shared" ref="D9:O9" si="3">SUM(D3:D8)</f>
        <v>54725</v>
      </c>
      <c r="E9" s="23">
        <f>SUM(E3:E8)</f>
        <v>53458</v>
      </c>
      <c r="F9" s="23">
        <f t="shared" si="3"/>
        <v>66827</v>
      </c>
      <c r="G9" s="92">
        <f t="shared" si="3"/>
        <v>73044</v>
      </c>
      <c r="H9" s="23">
        <f t="shared" si="3"/>
        <v>72875</v>
      </c>
      <c r="I9" s="23">
        <f t="shared" si="3"/>
        <v>0</v>
      </c>
      <c r="J9" s="23">
        <f t="shared" si="3"/>
        <v>0</v>
      </c>
      <c r="K9" s="23">
        <f t="shared" si="3"/>
        <v>0</v>
      </c>
      <c r="L9" s="23">
        <f t="shared" si="3"/>
        <v>0</v>
      </c>
      <c r="M9" s="23">
        <f t="shared" si="3"/>
        <v>0</v>
      </c>
      <c r="N9" s="23">
        <f t="shared" si="3"/>
        <v>0</v>
      </c>
      <c r="O9" s="23">
        <f t="shared" si="3"/>
        <v>0</v>
      </c>
      <c r="P9" s="67">
        <f t="shared" si="0"/>
        <v>320929</v>
      </c>
      <c r="R9" s="80"/>
    </row>
    <row r="10" spans="1:18" ht="19.899999999999999" customHeight="1" x14ac:dyDescent="0.15">
      <c r="A10" s="228"/>
      <c r="B10" s="211" t="s">
        <v>123</v>
      </c>
      <c r="C10" s="15" t="s">
        <v>120</v>
      </c>
      <c r="D10" s="85">
        <v>82</v>
      </c>
      <c r="E10" s="22">
        <f>95+3</f>
        <v>98</v>
      </c>
      <c r="F10" s="22">
        <f>0+33</f>
        <v>33</v>
      </c>
      <c r="G10" s="91">
        <v>50</v>
      </c>
      <c r="H10" s="66">
        <v>46</v>
      </c>
      <c r="I10" s="66"/>
      <c r="J10" s="66"/>
      <c r="K10" s="66"/>
      <c r="L10" s="66"/>
      <c r="M10" s="66"/>
      <c r="N10" s="66"/>
      <c r="O10" s="66"/>
      <c r="P10" s="67">
        <f t="shared" si="0"/>
        <v>309</v>
      </c>
      <c r="R10" s="80"/>
    </row>
    <row r="11" spans="1:18" ht="19.899999999999999" customHeight="1" x14ac:dyDescent="0.15">
      <c r="A11" s="228"/>
      <c r="B11" s="212"/>
      <c r="C11" s="15" t="s">
        <v>17</v>
      </c>
      <c r="D11" s="85">
        <f>29+2</f>
        <v>31</v>
      </c>
      <c r="E11" s="22">
        <f>73+0</f>
        <v>73</v>
      </c>
      <c r="F11" s="22">
        <f>7+22</f>
        <v>29</v>
      </c>
      <c r="G11" s="91">
        <v>56</v>
      </c>
      <c r="H11" s="66">
        <v>40</v>
      </c>
      <c r="I11" s="66"/>
      <c r="J11" s="66"/>
      <c r="K11" s="66"/>
      <c r="L11" s="66"/>
      <c r="M11" s="66"/>
      <c r="N11" s="66"/>
      <c r="O11" s="66"/>
      <c r="P11" s="67">
        <f t="shared" si="0"/>
        <v>229</v>
      </c>
      <c r="R11" s="80"/>
    </row>
    <row r="12" spans="1:18" ht="19.899999999999999" customHeight="1" x14ac:dyDescent="0.15">
      <c r="A12" s="228"/>
      <c r="B12" s="212"/>
      <c r="C12" s="15" t="s">
        <v>132</v>
      </c>
      <c r="D12" s="85">
        <v>0</v>
      </c>
      <c r="E12" s="22">
        <v>0</v>
      </c>
      <c r="F12" s="22">
        <f>2+5</f>
        <v>7</v>
      </c>
      <c r="G12" s="91">
        <f t="shared" si="2"/>
        <v>0</v>
      </c>
      <c r="H12" s="66">
        <v>0</v>
      </c>
      <c r="I12" s="66"/>
      <c r="J12" s="66"/>
      <c r="K12" s="66"/>
      <c r="L12" s="66"/>
      <c r="M12" s="66"/>
      <c r="N12" s="66"/>
      <c r="O12" s="66"/>
      <c r="P12" s="67">
        <f t="shared" si="0"/>
        <v>7</v>
      </c>
      <c r="R12" s="80"/>
    </row>
    <row r="13" spans="1:18" ht="19.899999999999999" customHeight="1" x14ac:dyDescent="0.15">
      <c r="A13" s="228"/>
      <c r="B13" s="212"/>
      <c r="C13" s="15" t="s">
        <v>138</v>
      </c>
      <c r="D13" s="85">
        <v>28</v>
      </c>
      <c r="E13" s="22">
        <v>150</v>
      </c>
      <c r="F13" s="22">
        <f>0+113</f>
        <v>113</v>
      </c>
      <c r="G13" s="91">
        <v>189</v>
      </c>
      <c r="H13" s="66">
        <v>0</v>
      </c>
      <c r="I13" s="66"/>
      <c r="J13" s="66"/>
      <c r="K13" s="66"/>
      <c r="L13" s="66"/>
      <c r="M13" s="66"/>
      <c r="N13" s="66"/>
      <c r="O13" s="66"/>
      <c r="P13" s="67">
        <f t="shared" si="0"/>
        <v>480</v>
      </c>
      <c r="R13" s="80"/>
    </row>
    <row r="14" spans="1:18" ht="19.899999999999999" customHeight="1" x14ac:dyDescent="0.15">
      <c r="A14" s="228"/>
      <c r="B14" s="212"/>
      <c r="C14" s="15" t="s">
        <v>137</v>
      </c>
      <c r="D14" s="85">
        <v>3</v>
      </c>
      <c r="E14" s="22">
        <v>59</v>
      </c>
      <c r="F14" s="22">
        <f>0+56</f>
        <v>56</v>
      </c>
      <c r="G14" s="91">
        <v>15</v>
      </c>
      <c r="H14" s="66">
        <v>25</v>
      </c>
      <c r="I14" s="66"/>
      <c r="J14" s="66"/>
      <c r="K14" s="66"/>
      <c r="L14" s="66"/>
      <c r="M14" s="66"/>
      <c r="N14" s="66"/>
      <c r="O14" s="66"/>
      <c r="P14" s="67">
        <f t="shared" si="0"/>
        <v>158</v>
      </c>
      <c r="R14" s="80"/>
    </row>
    <row r="15" spans="1:18" ht="19.899999999999999" customHeight="1" x14ac:dyDescent="0.15">
      <c r="A15" s="228"/>
      <c r="B15" s="212"/>
      <c r="C15" s="15" t="s">
        <v>19</v>
      </c>
      <c r="D15" s="85">
        <v>0</v>
      </c>
      <c r="E15" s="22">
        <v>0</v>
      </c>
      <c r="F15" s="22"/>
      <c r="G15" s="91">
        <f t="shared" si="2"/>
        <v>0</v>
      </c>
      <c r="H15" s="66">
        <v>117</v>
      </c>
      <c r="I15" s="66"/>
      <c r="J15" s="66"/>
      <c r="K15" s="66"/>
      <c r="L15" s="66"/>
      <c r="M15" s="66"/>
      <c r="N15" s="66"/>
      <c r="O15" s="66"/>
      <c r="P15" s="67">
        <f t="shared" si="0"/>
        <v>117</v>
      </c>
      <c r="R15" s="80"/>
    </row>
    <row r="16" spans="1:18" ht="19.899999999999999" customHeight="1" x14ac:dyDescent="0.15">
      <c r="A16" s="228"/>
      <c r="B16" s="213"/>
      <c r="C16" s="3" t="s">
        <v>22</v>
      </c>
      <c r="D16" s="23">
        <f t="shared" ref="D16:O16" si="4">SUM(D10:D15)</f>
        <v>144</v>
      </c>
      <c r="E16" s="23">
        <f t="shared" si="4"/>
        <v>380</v>
      </c>
      <c r="F16" s="23">
        <f t="shared" si="4"/>
        <v>238</v>
      </c>
      <c r="G16" s="92">
        <f t="shared" si="4"/>
        <v>310</v>
      </c>
      <c r="H16" s="23">
        <f t="shared" si="4"/>
        <v>228</v>
      </c>
      <c r="I16" s="23">
        <f t="shared" si="4"/>
        <v>0</v>
      </c>
      <c r="J16" s="23">
        <f t="shared" si="4"/>
        <v>0</v>
      </c>
      <c r="K16" s="23">
        <f t="shared" si="4"/>
        <v>0</v>
      </c>
      <c r="L16" s="23">
        <f t="shared" si="4"/>
        <v>0</v>
      </c>
      <c r="M16" s="23">
        <f t="shared" si="4"/>
        <v>0</v>
      </c>
      <c r="N16" s="23">
        <f t="shared" si="4"/>
        <v>0</v>
      </c>
      <c r="O16" s="23">
        <f t="shared" si="4"/>
        <v>0</v>
      </c>
      <c r="P16" s="67">
        <f t="shared" si="0"/>
        <v>1300</v>
      </c>
      <c r="R16" s="80"/>
    </row>
    <row r="17" spans="1:18" ht="19.5" customHeight="1" x14ac:dyDescent="0.15">
      <c r="A17" s="228"/>
      <c r="B17" s="214" t="s">
        <v>20</v>
      </c>
      <c r="C17" s="215"/>
      <c r="D17" s="86">
        <f>121+52</f>
        <v>173</v>
      </c>
      <c r="E17" s="22">
        <f>0+850</f>
        <v>850</v>
      </c>
      <c r="F17" s="22">
        <f>1+471</f>
        <v>472</v>
      </c>
      <c r="G17" s="91">
        <v>221</v>
      </c>
      <c r="H17" s="66">
        <v>430</v>
      </c>
      <c r="I17" s="66"/>
      <c r="J17" s="66"/>
      <c r="K17" s="66"/>
      <c r="L17" s="66"/>
      <c r="M17" s="66"/>
      <c r="N17" s="66"/>
      <c r="O17" s="66"/>
      <c r="P17" s="67">
        <f t="shared" si="0"/>
        <v>2146</v>
      </c>
      <c r="R17" s="80"/>
    </row>
    <row r="18" spans="1:18" ht="19.899999999999999" customHeight="1" x14ac:dyDescent="0.15">
      <c r="A18" s="228"/>
      <c r="B18" s="216" t="s">
        <v>127</v>
      </c>
      <c r="C18" s="217"/>
      <c r="D18" s="86">
        <v>52</v>
      </c>
      <c r="E18" s="22">
        <f>71+2</f>
        <v>73</v>
      </c>
      <c r="F18" s="22">
        <f>33+73</f>
        <v>106</v>
      </c>
      <c r="G18" s="91">
        <v>17</v>
      </c>
      <c r="H18" s="22">
        <v>60</v>
      </c>
      <c r="I18" s="22"/>
      <c r="J18" s="22"/>
      <c r="K18" s="22"/>
      <c r="L18" s="22"/>
      <c r="M18" s="22"/>
      <c r="N18" s="22"/>
      <c r="O18" s="22"/>
      <c r="P18" s="67">
        <f t="shared" si="0"/>
        <v>308</v>
      </c>
      <c r="R18" s="80"/>
    </row>
    <row r="19" spans="1:18" ht="26.45" customHeight="1" x14ac:dyDescent="0.15">
      <c r="A19" s="229"/>
      <c r="B19" s="230" t="s">
        <v>39</v>
      </c>
      <c r="C19" s="231"/>
      <c r="D19" s="24">
        <f t="shared" ref="D19:O19" si="5">D9+D18+D16+D17</f>
        <v>55094</v>
      </c>
      <c r="E19" s="24">
        <f t="shared" si="5"/>
        <v>54761</v>
      </c>
      <c r="F19" s="24">
        <f>F9+F18+F16+F17</f>
        <v>67643</v>
      </c>
      <c r="G19" s="93">
        <f t="shared" ref="G19" si="6">G9+G18+G16+G17</f>
        <v>73592</v>
      </c>
      <c r="H19" s="24">
        <f t="shared" si="5"/>
        <v>73593</v>
      </c>
      <c r="I19" s="24">
        <f t="shared" si="5"/>
        <v>0</v>
      </c>
      <c r="J19" s="24">
        <f t="shared" si="5"/>
        <v>0</v>
      </c>
      <c r="K19" s="24">
        <f t="shared" si="5"/>
        <v>0</v>
      </c>
      <c r="L19" s="24">
        <f>L9+L18+L16+L17</f>
        <v>0</v>
      </c>
      <c r="M19" s="24">
        <f t="shared" si="5"/>
        <v>0</v>
      </c>
      <c r="N19" s="24">
        <f>N9+N18+N16+N17</f>
        <v>0</v>
      </c>
      <c r="O19" s="24">
        <f t="shared" si="5"/>
        <v>0</v>
      </c>
      <c r="P19" s="68">
        <f t="shared" ref="P19:P29" si="7">SUM(D19:O19)</f>
        <v>324683</v>
      </c>
      <c r="R19" s="80">
        <f>SUM(D19:M19)</f>
        <v>324683</v>
      </c>
    </row>
    <row r="20" spans="1:18" ht="19.5" customHeight="1" x14ac:dyDescent="0.15">
      <c r="A20" s="227" t="s">
        <v>21</v>
      </c>
      <c r="B20" s="211" t="s">
        <v>125</v>
      </c>
      <c r="C20" s="81" t="s">
        <v>25</v>
      </c>
      <c r="D20" s="87">
        <f>4342+2419</f>
        <v>6761</v>
      </c>
      <c r="E20" s="22">
        <f>1034+4831</f>
        <v>5865</v>
      </c>
      <c r="F20" s="22">
        <f>6989+3192</f>
        <v>10181</v>
      </c>
      <c r="G20" s="91">
        <v>7542</v>
      </c>
      <c r="H20" s="22">
        <v>11009</v>
      </c>
      <c r="I20" s="22"/>
      <c r="J20" s="22"/>
      <c r="K20" s="22"/>
      <c r="L20" s="22"/>
      <c r="M20" s="22"/>
      <c r="N20" s="22"/>
      <c r="O20" s="22"/>
      <c r="P20" s="67">
        <f t="shared" si="7"/>
        <v>41358</v>
      </c>
      <c r="R20" s="80"/>
    </row>
    <row r="21" spans="1:18" ht="20.100000000000001" customHeight="1" x14ac:dyDescent="0.15">
      <c r="A21" s="228"/>
      <c r="B21" s="212"/>
      <c r="C21" s="81" t="s">
        <v>26</v>
      </c>
      <c r="D21" s="87">
        <f>68+4842</f>
        <v>4910</v>
      </c>
      <c r="E21" s="22">
        <f>141+2120</f>
        <v>2261</v>
      </c>
      <c r="F21" s="22">
        <f>122+5707</f>
        <v>5829</v>
      </c>
      <c r="G21" s="91">
        <v>7000</v>
      </c>
      <c r="H21" s="22">
        <v>5532</v>
      </c>
      <c r="I21" s="22"/>
      <c r="J21" s="22"/>
      <c r="K21" s="22"/>
      <c r="L21" s="22"/>
      <c r="M21" s="22"/>
      <c r="N21" s="22"/>
      <c r="O21" s="22"/>
      <c r="P21" s="67">
        <f t="shared" si="7"/>
        <v>25532</v>
      </c>
      <c r="R21" s="80"/>
    </row>
    <row r="22" spans="1:18" ht="20.100000000000001" customHeight="1" x14ac:dyDescent="0.15">
      <c r="A22" s="228"/>
      <c r="B22" s="212"/>
      <c r="C22" s="81" t="s">
        <v>23</v>
      </c>
      <c r="D22" s="87">
        <f>167+326</f>
        <v>493</v>
      </c>
      <c r="E22" s="22">
        <f>56+143</f>
        <v>199</v>
      </c>
      <c r="F22" s="22">
        <f>0+8</f>
        <v>8</v>
      </c>
      <c r="G22" s="91">
        <v>165</v>
      </c>
      <c r="H22" s="22">
        <v>26</v>
      </c>
      <c r="I22" s="22"/>
      <c r="J22" s="22"/>
      <c r="K22" s="22"/>
      <c r="L22" s="22"/>
      <c r="M22" s="22"/>
      <c r="N22" s="22"/>
      <c r="O22" s="22"/>
      <c r="P22" s="67">
        <f t="shared" si="7"/>
        <v>891</v>
      </c>
      <c r="R22" s="80"/>
    </row>
    <row r="23" spans="1:18" ht="20.100000000000001" customHeight="1" x14ac:dyDescent="0.15">
      <c r="A23" s="228"/>
      <c r="B23" s="212"/>
      <c r="C23" s="81" t="s">
        <v>24</v>
      </c>
      <c r="D23" s="87">
        <f>768+160</f>
        <v>928</v>
      </c>
      <c r="E23" s="22">
        <f>83+247</f>
        <v>330</v>
      </c>
      <c r="F23" s="22">
        <f>106+106</f>
        <v>212</v>
      </c>
      <c r="G23" s="91">
        <v>258</v>
      </c>
      <c r="H23" s="22">
        <v>127</v>
      </c>
      <c r="I23" s="22"/>
      <c r="J23" s="22"/>
      <c r="K23" s="22"/>
      <c r="L23" s="22"/>
      <c r="M23" s="22"/>
      <c r="N23" s="22"/>
      <c r="O23" s="22"/>
      <c r="P23" s="67">
        <f t="shared" si="7"/>
        <v>1855</v>
      </c>
      <c r="R23" s="80"/>
    </row>
    <row r="24" spans="1:18" ht="20.100000000000001" customHeight="1" x14ac:dyDescent="0.15">
      <c r="A24" s="228"/>
      <c r="B24" s="212"/>
      <c r="C24" s="81" t="s">
        <v>28</v>
      </c>
      <c r="D24" s="87">
        <v>305</v>
      </c>
      <c r="E24" s="22">
        <f>63+292</f>
        <v>355</v>
      </c>
      <c r="F24" s="22">
        <f>33+55</f>
        <v>88</v>
      </c>
      <c r="G24" s="91">
        <v>375</v>
      </c>
      <c r="H24" s="22">
        <v>196</v>
      </c>
      <c r="I24" s="22"/>
      <c r="J24" s="22"/>
      <c r="K24" s="22"/>
      <c r="L24" s="22"/>
      <c r="M24" s="22"/>
      <c r="N24" s="22"/>
      <c r="O24" s="22"/>
      <c r="P24" s="67">
        <f t="shared" si="7"/>
        <v>1319</v>
      </c>
      <c r="R24" s="80"/>
    </row>
    <row r="25" spans="1:18" ht="20.100000000000001" customHeight="1" x14ac:dyDescent="0.15">
      <c r="A25" s="228"/>
      <c r="B25" s="212"/>
      <c r="C25" s="81" t="s">
        <v>29</v>
      </c>
      <c r="D25" s="87">
        <v>0</v>
      </c>
      <c r="E25" s="22">
        <f>0+0</f>
        <v>0</v>
      </c>
      <c r="F25" s="22">
        <f>0+0</f>
        <v>0</v>
      </c>
      <c r="G25" s="91">
        <f t="shared" ref="G25:G32" si="8">K25+O25+S25</f>
        <v>0</v>
      </c>
      <c r="H25" s="22">
        <v>0</v>
      </c>
      <c r="I25" s="22"/>
      <c r="J25" s="22"/>
      <c r="K25" s="22"/>
      <c r="L25" s="22"/>
      <c r="M25" s="22"/>
      <c r="N25" s="22"/>
      <c r="O25" s="22"/>
      <c r="P25" s="67">
        <f t="shared" si="7"/>
        <v>0</v>
      </c>
      <c r="R25" s="80"/>
    </row>
    <row r="26" spans="1:18" ht="20.100000000000001" customHeight="1" x14ac:dyDescent="0.15">
      <c r="A26" s="228"/>
      <c r="B26" s="212"/>
      <c r="C26" s="81" t="s">
        <v>30</v>
      </c>
      <c r="D26" s="87">
        <v>268</v>
      </c>
      <c r="E26" s="22">
        <f>0+355</f>
        <v>355</v>
      </c>
      <c r="F26" s="89">
        <f>0+359</f>
        <v>359</v>
      </c>
      <c r="G26" s="91">
        <v>563</v>
      </c>
      <c r="H26" s="22">
        <v>176</v>
      </c>
      <c r="I26" s="22"/>
      <c r="J26" s="22"/>
      <c r="K26" s="22"/>
      <c r="L26" s="22"/>
      <c r="M26" s="22"/>
      <c r="N26" s="22"/>
      <c r="O26" s="22"/>
      <c r="P26" s="67">
        <f t="shared" si="7"/>
        <v>1721</v>
      </c>
      <c r="R26" s="80"/>
    </row>
    <row r="27" spans="1:18" ht="20.100000000000001" customHeight="1" x14ac:dyDescent="0.15">
      <c r="A27" s="228"/>
      <c r="B27" s="212"/>
      <c r="C27" s="81" t="s">
        <v>34</v>
      </c>
      <c r="D27" s="87">
        <v>0</v>
      </c>
      <c r="E27" s="22">
        <v>0</v>
      </c>
      <c r="F27" s="89">
        <f>0+0</f>
        <v>0</v>
      </c>
      <c r="G27" s="91">
        <f t="shared" si="8"/>
        <v>0</v>
      </c>
      <c r="H27" s="22">
        <v>0</v>
      </c>
      <c r="I27" s="22"/>
      <c r="J27" s="69"/>
      <c r="K27" s="69"/>
      <c r="L27" s="69"/>
      <c r="M27" s="69"/>
      <c r="N27" s="22"/>
      <c r="O27" s="22"/>
      <c r="P27" s="67">
        <f t="shared" si="7"/>
        <v>0</v>
      </c>
      <c r="R27" s="80"/>
    </row>
    <row r="28" spans="1:18" ht="20.100000000000001" customHeight="1" x14ac:dyDescent="0.15">
      <c r="A28" s="228"/>
      <c r="B28" s="212"/>
      <c r="C28" s="81" t="s">
        <v>33</v>
      </c>
      <c r="D28" s="87">
        <v>855</v>
      </c>
      <c r="E28" s="22">
        <f>0+740</f>
        <v>740</v>
      </c>
      <c r="F28" s="89">
        <f>0+712</f>
        <v>712</v>
      </c>
      <c r="G28" s="91">
        <v>360</v>
      </c>
      <c r="H28" s="22">
        <v>342</v>
      </c>
      <c r="I28" s="22"/>
      <c r="J28" s="22"/>
      <c r="K28" s="22"/>
      <c r="L28" s="22"/>
      <c r="M28" s="22"/>
      <c r="N28" s="22"/>
      <c r="O28" s="22"/>
      <c r="P28" s="67">
        <f t="shared" si="7"/>
        <v>3009</v>
      </c>
      <c r="R28" s="80"/>
    </row>
    <row r="29" spans="1:18" ht="20.100000000000001" customHeight="1" x14ac:dyDescent="0.15">
      <c r="A29" s="228"/>
      <c r="B29" s="212"/>
      <c r="C29" s="81" t="s">
        <v>31</v>
      </c>
      <c r="D29" s="87">
        <v>255</v>
      </c>
      <c r="E29" s="22">
        <v>1094</v>
      </c>
      <c r="F29" s="89">
        <f>0+1549</f>
        <v>1549</v>
      </c>
      <c r="G29" s="91">
        <v>2489</v>
      </c>
      <c r="H29" s="22">
        <v>1007</v>
      </c>
      <c r="I29" s="22"/>
      <c r="J29" s="22"/>
      <c r="K29" s="22"/>
      <c r="L29" s="22"/>
      <c r="M29" s="22"/>
      <c r="N29" s="22"/>
      <c r="O29" s="22"/>
      <c r="P29" s="67">
        <f t="shared" si="7"/>
        <v>6394</v>
      </c>
      <c r="R29" s="80"/>
    </row>
    <row r="30" spans="1:18" ht="20.100000000000001" customHeight="1" x14ac:dyDescent="0.15">
      <c r="A30" s="228"/>
      <c r="B30" s="212"/>
      <c r="C30" s="81" t="s">
        <v>110</v>
      </c>
      <c r="D30" s="87">
        <v>1239</v>
      </c>
      <c r="E30" s="22">
        <f>14+1791</f>
        <v>1805</v>
      </c>
      <c r="F30" s="89">
        <f>0+2086</f>
        <v>2086</v>
      </c>
      <c r="G30" s="91">
        <v>1926</v>
      </c>
      <c r="H30" s="22">
        <v>1134</v>
      </c>
      <c r="I30" s="22"/>
      <c r="J30" s="22"/>
      <c r="K30" s="22"/>
      <c r="L30" s="22"/>
      <c r="M30" s="22"/>
      <c r="N30" s="22"/>
      <c r="O30" s="22"/>
      <c r="P30" s="67">
        <f t="shared" ref="P30:P47" si="9">SUM(D30:O30)</f>
        <v>8190</v>
      </c>
      <c r="R30" s="80"/>
    </row>
    <row r="31" spans="1:18" ht="20.100000000000001" customHeight="1" x14ac:dyDescent="0.15">
      <c r="A31" s="228"/>
      <c r="B31" s="212"/>
      <c r="C31" s="81" t="s">
        <v>27</v>
      </c>
      <c r="D31" s="87">
        <v>114</v>
      </c>
      <c r="E31" s="22">
        <v>346</v>
      </c>
      <c r="F31" s="89">
        <f>0+526</f>
        <v>526</v>
      </c>
      <c r="G31" s="91">
        <v>24</v>
      </c>
      <c r="H31" s="22">
        <v>0</v>
      </c>
      <c r="I31" s="22"/>
      <c r="J31" s="22"/>
      <c r="K31" s="22"/>
      <c r="L31" s="22"/>
      <c r="M31" s="22"/>
      <c r="N31" s="22"/>
      <c r="O31" s="22"/>
      <c r="P31" s="67">
        <f t="shared" si="9"/>
        <v>1010</v>
      </c>
      <c r="R31" s="80"/>
    </row>
    <row r="32" spans="1:18" ht="20.100000000000001" customHeight="1" x14ac:dyDescent="0.15">
      <c r="A32" s="228"/>
      <c r="B32" s="212"/>
      <c r="C32" s="81" t="s">
        <v>32</v>
      </c>
      <c r="D32" s="87">
        <v>7</v>
      </c>
      <c r="E32" s="22">
        <v>0</v>
      </c>
      <c r="F32" s="89">
        <f>0+372</f>
        <v>372</v>
      </c>
      <c r="G32" s="91">
        <f t="shared" si="8"/>
        <v>0</v>
      </c>
      <c r="H32" s="22">
        <v>0</v>
      </c>
      <c r="I32" s="22"/>
      <c r="J32" s="22"/>
      <c r="K32" s="22"/>
      <c r="L32" s="22"/>
      <c r="M32" s="22"/>
      <c r="N32" s="22"/>
      <c r="O32" s="22"/>
      <c r="P32" s="67">
        <f t="shared" si="9"/>
        <v>379</v>
      </c>
      <c r="R32" s="80"/>
    </row>
    <row r="33" spans="1:18" ht="20.100000000000001" customHeight="1" x14ac:dyDescent="0.15">
      <c r="A33" s="228"/>
      <c r="B33" s="212"/>
      <c r="C33" s="81" t="s">
        <v>50</v>
      </c>
      <c r="D33" s="87">
        <v>21</v>
      </c>
      <c r="E33" s="22">
        <v>3</v>
      </c>
      <c r="F33" s="22">
        <f>27+0</f>
        <v>27</v>
      </c>
      <c r="G33" s="91">
        <v>30</v>
      </c>
      <c r="H33" s="22">
        <v>85</v>
      </c>
      <c r="I33" s="22"/>
      <c r="J33" s="22"/>
      <c r="K33" s="22"/>
      <c r="L33" s="22"/>
      <c r="M33" s="22"/>
      <c r="N33" s="22"/>
      <c r="O33" s="22"/>
      <c r="P33" s="67">
        <f t="shared" si="9"/>
        <v>166</v>
      </c>
      <c r="R33" s="80"/>
    </row>
    <row r="34" spans="1:18" ht="20.100000000000001" customHeight="1" x14ac:dyDescent="0.15">
      <c r="A34" s="228"/>
      <c r="B34" s="212"/>
      <c r="C34" s="81" t="s">
        <v>98</v>
      </c>
      <c r="D34" s="87">
        <v>190</v>
      </c>
      <c r="E34" s="22">
        <f>362+177</f>
        <v>539</v>
      </c>
      <c r="F34" s="22">
        <f>286+0</f>
        <v>286</v>
      </c>
      <c r="G34" s="91">
        <v>355</v>
      </c>
      <c r="H34" s="22">
        <v>11</v>
      </c>
      <c r="I34" s="22"/>
      <c r="J34" s="22"/>
      <c r="K34" s="22"/>
      <c r="L34" s="22"/>
      <c r="M34" s="22"/>
      <c r="N34" s="22"/>
      <c r="O34" s="22"/>
      <c r="P34" s="67">
        <f t="shared" si="9"/>
        <v>1381</v>
      </c>
      <c r="R34" s="80"/>
    </row>
    <row r="35" spans="1:18" ht="20.100000000000001" customHeight="1" x14ac:dyDescent="0.15">
      <c r="A35" s="228"/>
      <c r="B35" s="212"/>
      <c r="C35" s="81" t="s">
        <v>131</v>
      </c>
      <c r="D35" s="87">
        <v>0</v>
      </c>
      <c r="E35" s="22">
        <v>0</v>
      </c>
      <c r="F35" s="22">
        <f>0+0</f>
        <v>0</v>
      </c>
      <c r="G35" s="91">
        <f>K35+O35+S35</f>
        <v>0</v>
      </c>
      <c r="H35" s="70">
        <v>0</v>
      </c>
      <c r="I35" s="70"/>
      <c r="J35" s="70"/>
      <c r="K35" s="71"/>
      <c r="L35" s="22"/>
      <c r="M35" s="72"/>
      <c r="N35" s="22"/>
      <c r="O35" s="72"/>
      <c r="P35" s="67">
        <f t="shared" si="9"/>
        <v>0</v>
      </c>
      <c r="R35" s="80"/>
    </row>
    <row r="36" spans="1:18" ht="20.100000000000001" customHeight="1" x14ac:dyDescent="0.15">
      <c r="A36" s="228"/>
      <c r="B36" s="212"/>
      <c r="C36" s="81" t="s">
        <v>19</v>
      </c>
      <c r="D36" s="87">
        <f>165+20</f>
        <v>185</v>
      </c>
      <c r="E36" s="22">
        <f>5696+124</f>
        <v>5820</v>
      </c>
      <c r="F36" s="22">
        <f>788+2968</f>
        <v>3756</v>
      </c>
      <c r="G36" s="91">
        <v>5583</v>
      </c>
      <c r="H36" s="22">
        <v>7500</v>
      </c>
      <c r="I36" s="22"/>
      <c r="J36" s="22"/>
      <c r="K36" s="22"/>
      <c r="L36" s="22"/>
      <c r="M36" s="22"/>
      <c r="N36" s="22"/>
      <c r="O36" s="22"/>
      <c r="P36" s="67">
        <f>SUM(D36:O36)</f>
        <v>22844</v>
      </c>
      <c r="R36" s="80"/>
    </row>
    <row r="37" spans="1:18" ht="20.100000000000001" customHeight="1" x14ac:dyDescent="0.15">
      <c r="A37" s="228"/>
      <c r="B37" s="213"/>
      <c r="C37" s="19" t="s">
        <v>130</v>
      </c>
      <c r="D37" s="25">
        <f t="shared" ref="D37:O37" si="10">SUM(D20:D36)</f>
        <v>16531</v>
      </c>
      <c r="E37" s="25">
        <f t="shared" si="10"/>
        <v>19712</v>
      </c>
      <c r="F37" s="25">
        <f t="shared" si="10"/>
        <v>25991</v>
      </c>
      <c r="G37" s="94">
        <f t="shared" ref="G37" si="11">SUM(G20:G36)</f>
        <v>26670</v>
      </c>
      <c r="H37" s="25">
        <f t="shared" si="10"/>
        <v>27145</v>
      </c>
      <c r="I37" s="25">
        <f t="shared" si="10"/>
        <v>0</v>
      </c>
      <c r="J37" s="25">
        <f t="shared" si="10"/>
        <v>0</v>
      </c>
      <c r="K37" s="25">
        <f t="shared" si="10"/>
        <v>0</v>
      </c>
      <c r="L37" s="25">
        <f t="shared" si="10"/>
        <v>0</v>
      </c>
      <c r="M37" s="25">
        <f t="shared" si="10"/>
        <v>0</v>
      </c>
      <c r="N37" s="25">
        <f t="shared" si="10"/>
        <v>0</v>
      </c>
      <c r="O37" s="25">
        <f t="shared" si="10"/>
        <v>0</v>
      </c>
      <c r="P37" s="67">
        <f t="shared" si="9"/>
        <v>116049</v>
      </c>
      <c r="R37" s="80"/>
    </row>
    <row r="38" spans="1:18" ht="20.100000000000001" customHeight="1" x14ac:dyDescent="0.15">
      <c r="A38" s="228"/>
      <c r="B38" s="211" t="s">
        <v>124</v>
      </c>
      <c r="C38" s="81" t="s">
        <v>36</v>
      </c>
      <c r="D38" s="88">
        <v>57</v>
      </c>
      <c r="E38" s="22">
        <v>26</v>
      </c>
      <c r="F38" s="22">
        <f>0+118</f>
        <v>118</v>
      </c>
      <c r="G38" s="91">
        <v>79</v>
      </c>
      <c r="H38" s="22">
        <v>171</v>
      </c>
      <c r="I38" s="22"/>
      <c r="J38" s="22"/>
      <c r="K38" s="22"/>
      <c r="L38" s="22"/>
      <c r="M38" s="22"/>
      <c r="N38" s="22"/>
      <c r="O38" s="22"/>
      <c r="P38" s="67">
        <f t="shared" si="9"/>
        <v>451</v>
      </c>
      <c r="R38" s="80"/>
    </row>
    <row r="39" spans="1:18" ht="20.100000000000001" customHeight="1" x14ac:dyDescent="0.15">
      <c r="A39" s="228"/>
      <c r="B39" s="212"/>
      <c r="C39" s="81" t="s">
        <v>46</v>
      </c>
      <c r="D39" s="88">
        <v>45</v>
      </c>
      <c r="E39" s="22">
        <v>44</v>
      </c>
      <c r="F39" s="22">
        <f>0+97</f>
        <v>97</v>
      </c>
      <c r="G39" s="91">
        <v>180</v>
      </c>
      <c r="H39" s="22">
        <v>20</v>
      </c>
      <c r="I39" s="22"/>
      <c r="J39" s="22"/>
      <c r="K39" s="22"/>
      <c r="L39" s="22"/>
      <c r="M39" s="22"/>
      <c r="N39" s="22"/>
      <c r="O39" s="22"/>
      <c r="P39" s="67">
        <f t="shared" si="9"/>
        <v>386</v>
      </c>
      <c r="R39" s="80"/>
    </row>
    <row r="40" spans="1:18" ht="20.100000000000001" customHeight="1" x14ac:dyDescent="0.15">
      <c r="A40" s="228"/>
      <c r="B40" s="212"/>
      <c r="C40" s="81" t="s">
        <v>136</v>
      </c>
      <c r="D40" s="88">
        <v>2</v>
      </c>
      <c r="E40" s="22">
        <v>204</v>
      </c>
      <c r="F40" s="22">
        <f>0+272</f>
        <v>272</v>
      </c>
      <c r="G40" s="91">
        <v>161</v>
      </c>
      <c r="H40" s="22">
        <v>84</v>
      </c>
      <c r="I40" s="22"/>
      <c r="J40" s="22"/>
      <c r="K40" s="22"/>
      <c r="L40" s="22"/>
      <c r="M40" s="22"/>
      <c r="N40" s="22"/>
      <c r="O40" s="22"/>
      <c r="P40" s="67">
        <f t="shared" si="9"/>
        <v>723</v>
      </c>
      <c r="R40" s="80"/>
    </row>
    <row r="41" spans="1:18" ht="20.100000000000001" customHeight="1" x14ac:dyDescent="0.15">
      <c r="A41" s="228"/>
      <c r="B41" s="212"/>
      <c r="C41" s="81" t="s">
        <v>19</v>
      </c>
      <c r="D41" s="88">
        <f>29+152</f>
        <v>181</v>
      </c>
      <c r="E41" s="22">
        <f>44+406</f>
        <v>450</v>
      </c>
      <c r="F41" s="22">
        <f>1+281</f>
        <v>282</v>
      </c>
      <c r="G41" s="91">
        <v>434</v>
      </c>
      <c r="H41" s="22">
        <v>254</v>
      </c>
      <c r="I41" s="22"/>
      <c r="J41" s="22"/>
      <c r="K41" s="22"/>
      <c r="L41" s="22"/>
      <c r="M41" s="22"/>
      <c r="N41" s="22"/>
      <c r="O41" s="22"/>
      <c r="P41" s="67">
        <f t="shared" si="9"/>
        <v>1601</v>
      </c>
      <c r="R41" s="80"/>
    </row>
    <row r="42" spans="1:18" ht="20.100000000000001" customHeight="1" x14ac:dyDescent="0.15">
      <c r="A42" s="228"/>
      <c r="B42" s="213"/>
      <c r="C42" s="19" t="s">
        <v>130</v>
      </c>
      <c r="D42" s="25">
        <f t="shared" ref="D42:O42" si="12">SUM(D38:D41)</f>
        <v>285</v>
      </c>
      <c r="E42" s="25">
        <f t="shared" si="12"/>
        <v>724</v>
      </c>
      <c r="F42" s="25">
        <f t="shared" si="12"/>
        <v>769</v>
      </c>
      <c r="G42" s="94">
        <f t="shared" si="12"/>
        <v>854</v>
      </c>
      <c r="H42" s="25">
        <f t="shared" si="12"/>
        <v>529</v>
      </c>
      <c r="I42" s="25">
        <f t="shared" si="12"/>
        <v>0</v>
      </c>
      <c r="J42" s="25">
        <f t="shared" si="12"/>
        <v>0</v>
      </c>
      <c r="K42" s="25">
        <f t="shared" si="12"/>
        <v>0</v>
      </c>
      <c r="L42" s="25">
        <f t="shared" si="12"/>
        <v>0</v>
      </c>
      <c r="M42" s="25">
        <f t="shared" si="12"/>
        <v>0</v>
      </c>
      <c r="N42" s="25">
        <f t="shared" si="12"/>
        <v>0</v>
      </c>
      <c r="O42" s="25">
        <f t="shared" si="12"/>
        <v>0</v>
      </c>
      <c r="P42" s="67">
        <f t="shared" si="9"/>
        <v>3161</v>
      </c>
      <c r="R42" s="80"/>
    </row>
    <row r="43" spans="1:18" ht="20.100000000000001" customHeight="1" x14ac:dyDescent="0.15">
      <c r="A43" s="228"/>
      <c r="B43" s="216" t="s">
        <v>127</v>
      </c>
      <c r="C43" s="217"/>
      <c r="D43" s="22">
        <f>86+54</f>
        <v>140</v>
      </c>
      <c r="E43" s="22">
        <f>2+55</f>
        <v>57</v>
      </c>
      <c r="F43" s="22">
        <f>132+163</f>
        <v>295</v>
      </c>
      <c r="G43" s="91">
        <v>160</v>
      </c>
      <c r="H43" s="22">
        <v>140</v>
      </c>
      <c r="I43" s="22"/>
      <c r="J43" s="22"/>
      <c r="K43" s="22"/>
      <c r="L43" s="22"/>
      <c r="M43" s="22"/>
      <c r="N43" s="22"/>
      <c r="O43" s="22"/>
      <c r="P43" s="67">
        <f t="shared" si="9"/>
        <v>792</v>
      </c>
      <c r="R43" s="80"/>
    </row>
    <row r="44" spans="1:18" ht="24.75" customHeight="1" x14ac:dyDescent="0.15">
      <c r="A44" s="229"/>
      <c r="B44" s="230" t="s">
        <v>40</v>
      </c>
      <c r="C44" s="231"/>
      <c r="D44" s="24">
        <f t="shared" ref="D44:O44" si="13">D37+D42+D43</f>
        <v>16956</v>
      </c>
      <c r="E44" s="24">
        <f t="shared" si="13"/>
        <v>20493</v>
      </c>
      <c r="F44" s="24">
        <f t="shared" si="13"/>
        <v>27055</v>
      </c>
      <c r="G44" s="93">
        <f t="shared" si="13"/>
        <v>27684</v>
      </c>
      <c r="H44" s="24">
        <f t="shared" si="13"/>
        <v>27814</v>
      </c>
      <c r="I44" s="24">
        <f t="shared" si="13"/>
        <v>0</v>
      </c>
      <c r="J44" s="24">
        <f t="shared" si="13"/>
        <v>0</v>
      </c>
      <c r="K44" s="24">
        <f t="shared" si="13"/>
        <v>0</v>
      </c>
      <c r="L44" s="24">
        <f t="shared" si="13"/>
        <v>0</v>
      </c>
      <c r="M44" s="24">
        <f t="shared" si="13"/>
        <v>0</v>
      </c>
      <c r="N44" s="24">
        <f>N37+N42+N43</f>
        <v>0</v>
      </c>
      <c r="O44" s="24">
        <f t="shared" si="13"/>
        <v>0</v>
      </c>
      <c r="P44" s="68">
        <f t="shared" si="9"/>
        <v>120002</v>
      </c>
      <c r="R44" s="80"/>
    </row>
    <row r="45" spans="1:18" s="2" customFormat="1" ht="26.45" customHeight="1" x14ac:dyDescent="0.15">
      <c r="A45" s="235" t="s">
        <v>41</v>
      </c>
      <c r="B45" s="236"/>
      <c r="C45" s="237"/>
      <c r="D45" s="26">
        <f t="shared" ref="D45:O45" si="14">SUM(D19,D44)</f>
        <v>72050</v>
      </c>
      <c r="E45" s="26">
        <f t="shared" si="14"/>
        <v>75254</v>
      </c>
      <c r="F45" s="26">
        <f t="shared" si="14"/>
        <v>94698</v>
      </c>
      <c r="G45" s="95">
        <f t="shared" si="14"/>
        <v>101276</v>
      </c>
      <c r="H45" s="26">
        <f t="shared" si="14"/>
        <v>101407</v>
      </c>
      <c r="I45" s="26">
        <f t="shared" si="14"/>
        <v>0</v>
      </c>
      <c r="J45" s="26">
        <f t="shared" si="14"/>
        <v>0</v>
      </c>
      <c r="K45" s="26">
        <f t="shared" si="14"/>
        <v>0</v>
      </c>
      <c r="L45" s="26">
        <f>SUM(L19,L44)</f>
        <v>0</v>
      </c>
      <c r="M45" s="26">
        <f t="shared" si="14"/>
        <v>0</v>
      </c>
      <c r="N45" s="26">
        <f t="shared" si="14"/>
        <v>0</v>
      </c>
      <c r="O45" s="26">
        <f t="shared" si="14"/>
        <v>0</v>
      </c>
      <c r="P45" s="73">
        <f t="shared" si="9"/>
        <v>444685</v>
      </c>
      <c r="R45" s="80"/>
    </row>
    <row r="46" spans="1:18" ht="19.5" customHeight="1" x14ac:dyDescent="0.15">
      <c r="A46" s="218" t="s">
        <v>43</v>
      </c>
      <c r="B46" s="219"/>
      <c r="C46" s="217"/>
      <c r="D46" s="89">
        <f>26943+27980</f>
        <v>54923</v>
      </c>
      <c r="E46" s="22">
        <f>21917+21948</f>
        <v>43865</v>
      </c>
      <c r="F46" s="22">
        <f>25680+20872</f>
        <v>46552</v>
      </c>
      <c r="G46" s="91">
        <v>38608</v>
      </c>
      <c r="H46" s="22">
        <v>40145</v>
      </c>
      <c r="I46" s="22"/>
      <c r="J46" s="22"/>
      <c r="K46" s="22"/>
      <c r="L46" s="22"/>
      <c r="M46" s="22"/>
      <c r="N46" s="22"/>
      <c r="O46" s="22"/>
      <c r="P46" s="67">
        <f t="shared" si="9"/>
        <v>224093</v>
      </c>
      <c r="R46" s="80"/>
    </row>
    <row r="47" spans="1:18" ht="20.100000000000001" customHeight="1" x14ac:dyDescent="0.15">
      <c r="A47" s="218" t="s">
        <v>129</v>
      </c>
      <c r="B47" s="219"/>
      <c r="C47" s="217"/>
      <c r="D47" s="90">
        <f>1018+199</f>
        <v>1217</v>
      </c>
      <c r="E47" s="22">
        <f>67+293</f>
        <v>360</v>
      </c>
      <c r="F47" s="22">
        <f>149+564</f>
        <v>713</v>
      </c>
      <c r="G47" s="91">
        <v>440</v>
      </c>
      <c r="H47" s="74">
        <v>718</v>
      </c>
      <c r="I47" s="74"/>
      <c r="J47" s="74"/>
      <c r="K47" s="74"/>
      <c r="L47" s="74"/>
      <c r="M47" s="74"/>
      <c r="N47" s="74"/>
      <c r="O47" s="74"/>
      <c r="P47" s="75">
        <f t="shared" si="9"/>
        <v>3448</v>
      </c>
      <c r="R47" s="80"/>
    </row>
    <row r="48" spans="1:18" s="2" customFormat="1" ht="27.75" customHeight="1" thickBot="1" x14ac:dyDescent="0.2">
      <c r="A48" s="232" t="s">
        <v>42</v>
      </c>
      <c r="B48" s="233"/>
      <c r="C48" s="234"/>
      <c r="D48" s="76">
        <f t="shared" ref="D48:O48" si="15">D45+D46+D47</f>
        <v>128190</v>
      </c>
      <c r="E48" s="76">
        <f>E45+E46+E47</f>
        <v>119479</v>
      </c>
      <c r="F48" s="76">
        <f t="shared" si="15"/>
        <v>141963</v>
      </c>
      <c r="G48" s="96">
        <f t="shared" si="15"/>
        <v>140324</v>
      </c>
      <c r="H48" s="76">
        <f t="shared" si="15"/>
        <v>142270</v>
      </c>
      <c r="I48" s="76">
        <f t="shared" si="15"/>
        <v>0</v>
      </c>
      <c r="J48" s="76">
        <f t="shared" si="15"/>
        <v>0</v>
      </c>
      <c r="K48" s="76">
        <f t="shared" si="15"/>
        <v>0</v>
      </c>
      <c r="L48" s="76">
        <f t="shared" si="15"/>
        <v>0</v>
      </c>
      <c r="M48" s="76">
        <f t="shared" si="15"/>
        <v>0</v>
      </c>
      <c r="N48" s="76">
        <f t="shared" si="15"/>
        <v>0</v>
      </c>
      <c r="O48" s="76">
        <f t="shared" si="15"/>
        <v>0</v>
      </c>
      <c r="P48" s="77">
        <f>SUM(D48:O48)</f>
        <v>672226</v>
      </c>
      <c r="R48" s="80"/>
    </row>
    <row r="49" spans="4:12" ht="20.100000000000001" customHeight="1" x14ac:dyDescent="0.15"/>
    <row r="50" spans="4:12" x14ac:dyDescent="0.15">
      <c r="L50" s="29"/>
    </row>
    <row r="51" spans="4:12" x14ac:dyDescent="0.15">
      <c r="F51" s="29"/>
    </row>
    <row r="54" spans="4:12" x14ac:dyDescent="0.15">
      <c r="D54" s="29"/>
      <c r="E54" s="29"/>
    </row>
    <row r="55" spans="4:12" x14ac:dyDescent="0.15">
      <c r="D55" s="29"/>
    </row>
    <row r="56" spans="4:12" x14ac:dyDescent="0.15">
      <c r="D56" s="29"/>
    </row>
    <row r="57" spans="4:12" x14ac:dyDescent="0.15">
      <c r="D57" s="29"/>
    </row>
  </sheetData>
  <mergeCells count="17">
    <mergeCell ref="A1:P1"/>
    <mergeCell ref="A2:C2"/>
    <mergeCell ref="A3:A19"/>
    <mergeCell ref="B3:B9"/>
    <mergeCell ref="B10:B16"/>
    <mergeCell ref="B17:C17"/>
    <mergeCell ref="B18:C18"/>
    <mergeCell ref="B19:C19"/>
    <mergeCell ref="A46:C46"/>
    <mergeCell ref="A47:C47"/>
    <mergeCell ref="A48:C48"/>
    <mergeCell ref="A20:A44"/>
    <mergeCell ref="B20:B37"/>
    <mergeCell ref="B38:B42"/>
    <mergeCell ref="B43:C43"/>
    <mergeCell ref="B44:C44"/>
    <mergeCell ref="A45:C45"/>
  </mergeCells>
  <phoneticPr fontId="14" type="noConversion"/>
  <pageMargins left="1.3385826771653544" right="0.51181102362204722" top="0.70866141732283472" bottom="0.35433070866141736" header="0.11811023622047245" footer="0.11811023622047245"/>
  <pageSetup paperSize="9" scale="50" orientation="landscape" r:id="rId1"/>
  <ignoredErrors>
    <ignoredError sqref="F26" formula="1"/>
  </ignoredError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A1:R57"/>
  <sheetViews>
    <sheetView zoomScale="80" zoomScaleNormal="80" workbookViewId="0">
      <pane xSplit="3" ySplit="2" topLeftCell="D3" activePane="bottomRight" state="frozen"/>
      <selection pane="topRight" activeCell="D1" sqref="D1"/>
      <selection pane="bottomLeft" activeCell="A3" sqref="A3"/>
      <selection pane="bottomRight" activeCell="O5" sqref="O5"/>
    </sheetView>
  </sheetViews>
  <sheetFormatPr defaultRowHeight="13.5" x14ac:dyDescent="0.15"/>
  <cols>
    <col min="1" max="1" width="5.21875" customWidth="1"/>
    <col min="2" max="2" width="5.44140625" customWidth="1"/>
    <col min="3" max="3" width="11.44140625" customWidth="1"/>
    <col min="4" max="13" width="13.5546875" customWidth="1"/>
    <col min="14" max="14" width="13.5546875" style="65" customWidth="1"/>
    <col min="15" max="15" width="13.5546875" customWidth="1"/>
    <col min="16" max="16" width="14.6640625" style="2" customWidth="1"/>
  </cols>
  <sheetData>
    <row r="1" spans="1:18" ht="51" customHeight="1" thickBot="1" x14ac:dyDescent="0.2">
      <c r="A1" s="223" t="s">
        <v>227</v>
      </c>
      <c r="B1" s="223"/>
      <c r="C1" s="223"/>
      <c r="D1" s="223"/>
      <c r="E1" s="223"/>
      <c r="F1" s="223"/>
      <c r="G1" s="223"/>
      <c r="H1" s="223"/>
      <c r="I1" s="223"/>
      <c r="J1" s="223"/>
      <c r="K1" s="223"/>
      <c r="L1" s="223"/>
      <c r="M1" s="223"/>
      <c r="N1" s="223"/>
      <c r="O1" s="223"/>
      <c r="P1" s="223"/>
    </row>
    <row r="2" spans="1:18" ht="25.5" customHeight="1" x14ac:dyDescent="0.15">
      <c r="A2" s="224" t="s">
        <v>226</v>
      </c>
      <c r="B2" s="225"/>
      <c r="C2" s="226"/>
      <c r="D2" s="134" t="s">
        <v>225</v>
      </c>
      <c r="E2" s="134" t="s">
        <v>224</v>
      </c>
      <c r="F2" s="134" t="s">
        <v>2</v>
      </c>
      <c r="G2" s="134" t="s">
        <v>3</v>
      </c>
      <c r="H2" s="134" t="s">
        <v>4</v>
      </c>
      <c r="I2" s="134" t="s">
        <v>5</v>
      </c>
      <c r="J2" s="134" t="s">
        <v>6</v>
      </c>
      <c r="K2" s="134" t="s">
        <v>7</v>
      </c>
      <c r="L2" s="134" t="s">
        <v>8</v>
      </c>
      <c r="M2" s="134" t="s">
        <v>9</v>
      </c>
      <c r="N2" s="134" t="s">
        <v>10</v>
      </c>
      <c r="O2" s="134" t="s">
        <v>11</v>
      </c>
      <c r="P2" s="9" t="s">
        <v>223</v>
      </c>
    </row>
    <row r="3" spans="1:18" ht="19.899999999999999" customHeight="1" x14ac:dyDescent="0.15">
      <c r="A3" s="227" t="s">
        <v>222</v>
      </c>
      <c r="B3" s="211" t="s">
        <v>221</v>
      </c>
      <c r="C3" s="133" t="s">
        <v>220</v>
      </c>
      <c r="D3" s="126">
        <v>49708</v>
      </c>
      <c r="E3" s="131">
        <v>46381</v>
      </c>
      <c r="F3" s="91">
        <v>52742</v>
      </c>
      <c r="G3" s="91">
        <v>57478</v>
      </c>
      <c r="H3" s="131">
        <v>57044</v>
      </c>
      <c r="I3" s="131">
        <v>58984</v>
      </c>
      <c r="J3" s="131">
        <v>53765</v>
      </c>
      <c r="K3" s="131">
        <v>46632</v>
      </c>
      <c r="L3" s="131">
        <v>50126</v>
      </c>
      <c r="M3" s="131">
        <v>58831</v>
      </c>
      <c r="N3" s="131">
        <v>50425</v>
      </c>
      <c r="O3" s="100">
        <v>58048</v>
      </c>
      <c r="P3" s="67">
        <f t="shared" ref="P3:P48" si="0">SUM(D3:O3)</f>
        <v>640164</v>
      </c>
      <c r="R3" s="80"/>
    </row>
    <row r="4" spans="1:18" ht="19.899999999999999" customHeight="1" x14ac:dyDescent="0.15">
      <c r="A4" s="228"/>
      <c r="B4" s="212"/>
      <c r="C4" s="133" t="s">
        <v>214</v>
      </c>
      <c r="D4" s="126">
        <f>1427+381+1198</f>
        <v>3006</v>
      </c>
      <c r="E4" s="131">
        <f>1248+3131+33</f>
        <v>4412</v>
      </c>
      <c r="F4" s="91">
        <v>12155</v>
      </c>
      <c r="G4" s="91">
        <v>13275</v>
      </c>
      <c r="H4" s="131">
        <v>13708</v>
      </c>
      <c r="I4" s="131">
        <v>13599</v>
      </c>
      <c r="J4" s="131">
        <v>11772</v>
      </c>
      <c r="K4" s="131">
        <v>9126</v>
      </c>
      <c r="L4" s="131">
        <v>10665</v>
      </c>
      <c r="M4" s="131">
        <f>2613+4548+1172</f>
        <v>8333</v>
      </c>
      <c r="N4" s="131">
        <v>6886</v>
      </c>
      <c r="O4" s="100">
        <v>10154</v>
      </c>
      <c r="P4" s="67">
        <f t="shared" si="0"/>
        <v>117091</v>
      </c>
      <c r="R4" s="80"/>
    </row>
    <row r="5" spans="1:18" ht="19.899999999999999" customHeight="1" x14ac:dyDescent="0.15">
      <c r="A5" s="228"/>
      <c r="B5" s="212"/>
      <c r="C5" s="133" t="s">
        <v>219</v>
      </c>
      <c r="D5" s="126">
        <f>1+1097</f>
        <v>1098</v>
      </c>
      <c r="E5" s="131">
        <f>174+2284</f>
        <v>2458</v>
      </c>
      <c r="F5" s="91">
        <v>1730</v>
      </c>
      <c r="G5" s="91">
        <v>2206</v>
      </c>
      <c r="H5" s="131">
        <v>2033</v>
      </c>
      <c r="I5" s="131">
        <v>2565</v>
      </c>
      <c r="J5" s="131">
        <v>2098</v>
      </c>
      <c r="K5" s="131">
        <v>1481</v>
      </c>
      <c r="L5" s="131">
        <v>836</v>
      </c>
      <c r="M5" s="131">
        <v>659</v>
      </c>
      <c r="N5" s="131">
        <v>1339</v>
      </c>
      <c r="O5" s="100">
        <v>1389</v>
      </c>
      <c r="P5" s="67">
        <f t="shared" si="0"/>
        <v>19892</v>
      </c>
      <c r="R5" s="80"/>
    </row>
    <row r="6" spans="1:18" ht="19.899999999999999" customHeight="1" x14ac:dyDescent="0.15">
      <c r="A6" s="228"/>
      <c r="B6" s="212"/>
      <c r="C6" s="133" t="s">
        <v>218</v>
      </c>
      <c r="D6" s="131">
        <v>0</v>
      </c>
      <c r="E6" s="131">
        <v>14</v>
      </c>
      <c r="F6" s="91">
        <f>J6+N6+R6</f>
        <v>0</v>
      </c>
      <c r="G6" s="91">
        <f>K6+O6+S6</f>
        <v>0</v>
      </c>
      <c r="H6" s="131">
        <v>0</v>
      </c>
      <c r="I6" s="131">
        <v>0</v>
      </c>
      <c r="J6" s="131">
        <v>0</v>
      </c>
      <c r="K6" s="131">
        <v>0</v>
      </c>
      <c r="L6" s="131">
        <v>0</v>
      </c>
      <c r="M6" s="131">
        <v>0</v>
      </c>
      <c r="N6" s="131">
        <v>0</v>
      </c>
      <c r="O6" s="100">
        <v>0</v>
      </c>
      <c r="P6" s="67">
        <f t="shared" si="0"/>
        <v>14</v>
      </c>
      <c r="R6" s="80"/>
    </row>
    <row r="7" spans="1:18" ht="19.899999999999999" customHeight="1" x14ac:dyDescent="0.15">
      <c r="A7" s="228"/>
      <c r="B7" s="212"/>
      <c r="C7" s="133" t="s">
        <v>217</v>
      </c>
      <c r="D7" s="131">
        <v>0</v>
      </c>
      <c r="E7" s="131">
        <v>0</v>
      </c>
      <c r="F7" s="91">
        <f>J7+N7+R7</f>
        <v>50</v>
      </c>
      <c r="G7" s="91">
        <f>K7+O7+S7</f>
        <v>24</v>
      </c>
      <c r="H7" s="131">
        <v>0</v>
      </c>
      <c r="I7" s="131">
        <v>9</v>
      </c>
      <c r="J7" s="131">
        <v>0</v>
      </c>
      <c r="K7" s="131">
        <v>0</v>
      </c>
      <c r="L7" s="131">
        <v>0</v>
      </c>
      <c r="M7" s="131">
        <v>0</v>
      </c>
      <c r="N7" s="131">
        <v>50</v>
      </c>
      <c r="O7" s="100">
        <v>24</v>
      </c>
      <c r="P7" s="67">
        <f t="shared" si="0"/>
        <v>157</v>
      </c>
      <c r="R7" s="80"/>
    </row>
    <row r="8" spans="1:18" ht="19.899999999999999" customHeight="1" x14ac:dyDescent="0.15">
      <c r="A8" s="228"/>
      <c r="B8" s="212"/>
      <c r="C8" s="133" t="s">
        <v>185</v>
      </c>
      <c r="D8" s="126">
        <f>682+231</f>
        <v>913</v>
      </c>
      <c r="E8" s="131">
        <f>4+189</f>
        <v>193</v>
      </c>
      <c r="F8" s="91">
        <v>200</v>
      </c>
      <c r="G8" s="91">
        <v>85</v>
      </c>
      <c r="H8" s="131">
        <v>90</v>
      </c>
      <c r="I8" s="131">
        <v>394</v>
      </c>
      <c r="J8" s="131">
        <v>72</v>
      </c>
      <c r="K8" s="131">
        <f>2+112</f>
        <v>114</v>
      </c>
      <c r="L8" s="131">
        <v>92</v>
      </c>
      <c r="M8" s="131">
        <f>67+1</f>
        <v>68</v>
      </c>
      <c r="N8" s="131">
        <v>39</v>
      </c>
      <c r="O8" s="100">
        <v>253</v>
      </c>
      <c r="P8" s="67">
        <f t="shared" si="0"/>
        <v>2513</v>
      </c>
      <c r="R8" s="80"/>
    </row>
    <row r="9" spans="1:18" ht="19.899999999999999" customHeight="1" x14ac:dyDescent="0.15">
      <c r="A9" s="228"/>
      <c r="B9" s="213"/>
      <c r="C9" s="3" t="s">
        <v>210</v>
      </c>
      <c r="D9" s="23">
        <f t="shared" ref="D9:K9" si="1">SUM(D3:D8)</f>
        <v>54725</v>
      </c>
      <c r="E9" s="23">
        <f t="shared" si="1"/>
        <v>53458</v>
      </c>
      <c r="F9" s="23">
        <f t="shared" si="1"/>
        <v>66877</v>
      </c>
      <c r="G9" s="92">
        <f t="shared" si="1"/>
        <v>73068</v>
      </c>
      <c r="H9" s="23">
        <f t="shared" si="1"/>
        <v>72875</v>
      </c>
      <c r="I9" s="23">
        <f t="shared" si="1"/>
        <v>75551</v>
      </c>
      <c r="J9" s="23">
        <f t="shared" si="1"/>
        <v>67707</v>
      </c>
      <c r="K9" s="23">
        <f t="shared" si="1"/>
        <v>57353</v>
      </c>
      <c r="L9" s="23">
        <v>61719</v>
      </c>
      <c r="M9" s="23">
        <f>SUM(M3:M8)</f>
        <v>67891</v>
      </c>
      <c r="N9" s="23">
        <f>SUM(N3:N8)</f>
        <v>58739</v>
      </c>
      <c r="O9" s="23">
        <f>SUM(O3:O8)</f>
        <v>69868</v>
      </c>
      <c r="P9" s="67">
        <f t="shared" si="0"/>
        <v>779831</v>
      </c>
      <c r="R9" s="80"/>
    </row>
    <row r="10" spans="1:18" ht="19.899999999999999" customHeight="1" x14ac:dyDescent="0.15">
      <c r="A10" s="228"/>
      <c r="B10" s="211" t="s">
        <v>216</v>
      </c>
      <c r="C10" s="15" t="s">
        <v>215</v>
      </c>
      <c r="D10" s="126">
        <v>82</v>
      </c>
      <c r="E10" s="131">
        <f>95+3</f>
        <v>98</v>
      </c>
      <c r="F10" s="131">
        <f>0+33</f>
        <v>33</v>
      </c>
      <c r="G10" s="91">
        <v>50</v>
      </c>
      <c r="H10" s="126">
        <v>46</v>
      </c>
      <c r="I10" s="126">
        <v>41</v>
      </c>
      <c r="J10" s="126">
        <v>22</v>
      </c>
      <c r="K10" s="126">
        <v>2</v>
      </c>
      <c r="L10" s="126">
        <v>95</v>
      </c>
      <c r="M10" s="126">
        <f>3+18</f>
        <v>21</v>
      </c>
      <c r="N10" s="126">
        <v>40</v>
      </c>
      <c r="O10" s="103">
        <v>97</v>
      </c>
      <c r="P10" s="67">
        <f t="shared" si="0"/>
        <v>627</v>
      </c>
      <c r="R10" s="80"/>
    </row>
    <row r="11" spans="1:18" ht="19.899999999999999" customHeight="1" x14ac:dyDescent="0.15">
      <c r="A11" s="228"/>
      <c r="B11" s="212"/>
      <c r="C11" s="15" t="s">
        <v>214</v>
      </c>
      <c r="D11" s="126">
        <f>29+2</f>
        <v>31</v>
      </c>
      <c r="E11" s="131">
        <f>73+0</f>
        <v>73</v>
      </c>
      <c r="F11" s="131">
        <f>7+22</f>
        <v>29</v>
      </c>
      <c r="G11" s="91">
        <v>56</v>
      </c>
      <c r="H11" s="126">
        <v>40</v>
      </c>
      <c r="I11" s="126">
        <v>0</v>
      </c>
      <c r="J11" s="126">
        <v>33</v>
      </c>
      <c r="K11" s="126">
        <f>4+7</f>
        <v>11</v>
      </c>
      <c r="L11" s="126">
        <v>42</v>
      </c>
      <c r="M11" s="126">
        <v>2</v>
      </c>
      <c r="N11" s="126">
        <v>9</v>
      </c>
      <c r="O11" s="103">
        <v>30</v>
      </c>
      <c r="P11" s="67">
        <f t="shared" si="0"/>
        <v>356</v>
      </c>
      <c r="R11" s="80"/>
    </row>
    <row r="12" spans="1:18" ht="19.899999999999999" customHeight="1" x14ac:dyDescent="0.15">
      <c r="A12" s="228"/>
      <c r="B12" s="212"/>
      <c r="C12" s="15" t="s">
        <v>213</v>
      </c>
      <c r="D12" s="126">
        <v>0</v>
      </c>
      <c r="E12" s="131">
        <v>0</v>
      </c>
      <c r="F12" s="131">
        <f>2+5</f>
        <v>7</v>
      </c>
      <c r="G12" s="91">
        <f>K12+O12+S12</f>
        <v>42</v>
      </c>
      <c r="H12" s="126">
        <v>0</v>
      </c>
      <c r="I12" s="126">
        <v>0</v>
      </c>
      <c r="J12" s="126">
        <v>0</v>
      </c>
      <c r="K12" s="126">
        <v>2</v>
      </c>
      <c r="L12" s="126">
        <v>0</v>
      </c>
      <c r="M12" s="126">
        <v>2</v>
      </c>
      <c r="N12" s="126">
        <v>0</v>
      </c>
      <c r="O12" s="103">
        <v>40</v>
      </c>
      <c r="P12" s="67">
        <f t="shared" si="0"/>
        <v>93</v>
      </c>
      <c r="R12" s="80"/>
    </row>
    <row r="13" spans="1:18" ht="19.899999999999999" customHeight="1" x14ac:dyDescent="0.15">
      <c r="A13" s="228"/>
      <c r="B13" s="212"/>
      <c r="C13" s="15" t="s">
        <v>212</v>
      </c>
      <c r="D13" s="126">
        <v>28</v>
      </c>
      <c r="E13" s="131">
        <v>150</v>
      </c>
      <c r="F13" s="131">
        <f>0+113</f>
        <v>113</v>
      </c>
      <c r="G13" s="91">
        <v>189</v>
      </c>
      <c r="H13" s="126">
        <v>0</v>
      </c>
      <c r="I13" s="126">
        <v>82</v>
      </c>
      <c r="J13" s="126">
        <v>272</v>
      </c>
      <c r="K13" s="126">
        <v>82</v>
      </c>
      <c r="L13" s="126">
        <v>251</v>
      </c>
      <c r="M13" s="126">
        <v>260</v>
      </c>
      <c r="N13" s="126">
        <v>126</v>
      </c>
      <c r="O13" s="103">
        <v>83</v>
      </c>
      <c r="P13" s="67">
        <f t="shared" si="0"/>
        <v>1636</v>
      </c>
      <c r="R13" s="80"/>
    </row>
    <row r="14" spans="1:18" ht="19.899999999999999" customHeight="1" x14ac:dyDescent="0.15">
      <c r="A14" s="228"/>
      <c r="B14" s="212"/>
      <c r="C14" s="15" t="s">
        <v>211</v>
      </c>
      <c r="D14" s="126">
        <v>3</v>
      </c>
      <c r="E14" s="131">
        <v>59</v>
      </c>
      <c r="F14" s="131">
        <f>0+56</f>
        <v>56</v>
      </c>
      <c r="G14" s="91">
        <v>15</v>
      </c>
      <c r="H14" s="126">
        <v>25</v>
      </c>
      <c r="I14" s="126">
        <v>44</v>
      </c>
      <c r="J14" s="126">
        <v>36</v>
      </c>
      <c r="K14" s="126">
        <v>65</v>
      </c>
      <c r="L14" s="126">
        <v>69</v>
      </c>
      <c r="M14" s="126">
        <f>24+2</f>
        <v>26</v>
      </c>
      <c r="N14" s="126">
        <v>11</v>
      </c>
      <c r="O14" s="103">
        <v>52</v>
      </c>
      <c r="P14" s="67">
        <f t="shared" si="0"/>
        <v>461</v>
      </c>
      <c r="R14" s="80"/>
    </row>
    <row r="15" spans="1:18" ht="19.899999999999999" customHeight="1" x14ac:dyDescent="0.15">
      <c r="A15" s="228"/>
      <c r="B15" s="212"/>
      <c r="C15" s="15" t="s">
        <v>185</v>
      </c>
      <c r="D15" s="126">
        <v>0</v>
      </c>
      <c r="E15" s="131">
        <v>0</v>
      </c>
      <c r="F15" s="131"/>
      <c r="G15" s="91">
        <f>K15+O15+S15</f>
        <v>0</v>
      </c>
      <c r="H15" s="126">
        <v>117</v>
      </c>
      <c r="I15" s="126">
        <v>0</v>
      </c>
      <c r="J15" s="126">
        <v>0</v>
      </c>
      <c r="K15" s="126">
        <v>0</v>
      </c>
      <c r="L15" s="126">
        <v>0</v>
      </c>
      <c r="M15" s="126">
        <v>0</v>
      </c>
      <c r="N15" s="126">
        <v>0</v>
      </c>
      <c r="O15" s="103">
        <v>0</v>
      </c>
      <c r="P15" s="67">
        <f t="shared" si="0"/>
        <v>117</v>
      </c>
      <c r="R15" s="80"/>
    </row>
    <row r="16" spans="1:18" ht="19.899999999999999" customHeight="1" x14ac:dyDescent="0.15">
      <c r="A16" s="228"/>
      <c r="B16" s="213"/>
      <c r="C16" s="3" t="s">
        <v>210</v>
      </c>
      <c r="D16" s="23">
        <f t="shared" ref="D16:K16" si="2">SUM(D10:D15)</f>
        <v>144</v>
      </c>
      <c r="E16" s="23">
        <f t="shared" si="2"/>
        <v>380</v>
      </c>
      <c r="F16" s="23">
        <f t="shared" si="2"/>
        <v>238</v>
      </c>
      <c r="G16" s="92">
        <f t="shared" si="2"/>
        <v>352</v>
      </c>
      <c r="H16" s="23">
        <f t="shared" si="2"/>
        <v>228</v>
      </c>
      <c r="I16" s="23">
        <f t="shared" si="2"/>
        <v>167</v>
      </c>
      <c r="J16" s="23">
        <f t="shared" si="2"/>
        <v>363</v>
      </c>
      <c r="K16" s="23">
        <f t="shared" si="2"/>
        <v>162</v>
      </c>
      <c r="L16" s="23">
        <v>457</v>
      </c>
      <c r="M16" s="23">
        <f>SUM(M10:M15)</f>
        <v>311</v>
      </c>
      <c r="N16" s="23">
        <f>SUM(N10:N15)</f>
        <v>186</v>
      </c>
      <c r="O16" s="23">
        <f>SUM(O10:O15)</f>
        <v>302</v>
      </c>
      <c r="P16" s="67">
        <f t="shared" si="0"/>
        <v>3290</v>
      </c>
      <c r="R16" s="80"/>
    </row>
    <row r="17" spans="1:18" ht="19.5" customHeight="1" x14ac:dyDescent="0.15">
      <c r="A17" s="228"/>
      <c r="B17" s="214" t="s">
        <v>209</v>
      </c>
      <c r="C17" s="215"/>
      <c r="D17" s="126">
        <f>121+52</f>
        <v>173</v>
      </c>
      <c r="E17" s="131">
        <f>0+850</f>
        <v>850</v>
      </c>
      <c r="F17" s="131">
        <f>1+471</f>
        <v>472</v>
      </c>
      <c r="G17" s="91">
        <v>221</v>
      </c>
      <c r="H17" s="126">
        <v>430</v>
      </c>
      <c r="I17" s="126">
        <v>651</v>
      </c>
      <c r="J17" s="126">
        <v>1184</v>
      </c>
      <c r="K17" s="126">
        <v>743</v>
      </c>
      <c r="L17" s="126">
        <v>1434</v>
      </c>
      <c r="M17" s="126">
        <f>978+228</f>
        <v>1206</v>
      </c>
      <c r="N17" s="126">
        <v>954</v>
      </c>
      <c r="O17" s="103">
        <v>1053</v>
      </c>
      <c r="P17" s="67">
        <f t="shared" si="0"/>
        <v>9371</v>
      </c>
      <c r="R17" s="80"/>
    </row>
    <row r="18" spans="1:18" ht="19.899999999999999" customHeight="1" x14ac:dyDescent="0.15">
      <c r="A18" s="228"/>
      <c r="B18" s="216" t="s">
        <v>183</v>
      </c>
      <c r="C18" s="217"/>
      <c r="D18" s="126">
        <v>52</v>
      </c>
      <c r="E18" s="131">
        <f>71+2</f>
        <v>73</v>
      </c>
      <c r="F18" s="131">
        <f>33+73</f>
        <v>106</v>
      </c>
      <c r="G18" s="91">
        <v>17</v>
      </c>
      <c r="H18" s="131">
        <v>60</v>
      </c>
      <c r="I18" s="131">
        <v>34</v>
      </c>
      <c r="J18" s="131">
        <v>44</v>
      </c>
      <c r="K18" s="131">
        <v>59</v>
      </c>
      <c r="L18" s="131">
        <v>127</v>
      </c>
      <c r="M18" s="131">
        <f>13+2</f>
        <v>15</v>
      </c>
      <c r="N18" s="131">
        <v>75</v>
      </c>
      <c r="O18" s="100">
        <v>33</v>
      </c>
      <c r="P18" s="67">
        <f t="shared" si="0"/>
        <v>695</v>
      </c>
      <c r="R18" s="80"/>
    </row>
    <row r="19" spans="1:18" ht="26.45" customHeight="1" x14ac:dyDescent="0.15">
      <c r="A19" s="229"/>
      <c r="B19" s="230" t="s">
        <v>208</v>
      </c>
      <c r="C19" s="231"/>
      <c r="D19" s="24">
        <f t="shared" ref="D19:K19" si="3">D9+D18+D16+D17</f>
        <v>55094</v>
      </c>
      <c r="E19" s="24">
        <f t="shared" si="3"/>
        <v>54761</v>
      </c>
      <c r="F19" s="24">
        <f t="shared" si="3"/>
        <v>67693</v>
      </c>
      <c r="G19" s="93">
        <f t="shared" si="3"/>
        <v>73658</v>
      </c>
      <c r="H19" s="24">
        <f t="shared" si="3"/>
        <v>73593</v>
      </c>
      <c r="I19" s="24">
        <f t="shared" si="3"/>
        <v>76403</v>
      </c>
      <c r="J19" s="24">
        <f t="shared" si="3"/>
        <v>69298</v>
      </c>
      <c r="K19" s="24">
        <f t="shared" si="3"/>
        <v>58317</v>
      </c>
      <c r="L19" s="24">
        <v>63737</v>
      </c>
      <c r="M19" s="24">
        <f>M9+M18+M16+M17</f>
        <v>69423</v>
      </c>
      <c r="N19" s="24">
        <f>N9+N18+N16+N17</f>
        <v>59954</v>
      </c>
      <c r="O19" s="24">
        <f>O9+O18+O16+O17</f>
        <v>71256</v>
      </c>
      <c r="P19" s="68">
        <f t="shared" si="0"/>
        <v>793187</v>
      </c>
      <c r="R19" s="80">
        <f>SUM(D19:M19)</f>
        <v>661977</v>
      </c>
    </row>
    <row r="20" spans="1:18" ht="19.5" customHeight="1" x14ac:dyDescent="0.15">
      <c r="A20" s="227" t="s">
        <v>207</v>
      </c>
      <c r="B20" s="211" t="s">
        <v>206</v>
      </c>
      <c r="C20" s="133" t="s">
        <v>205</v>
      </c>
      <c r="D20" s="131">
        <f>4342+2419</f>
        <v>6761</v>
      </c>
      <c r="E20" s="131">
        <f>1034+4831</f>
        <v>5865</v>
      </c>
      <c r="F20" s="131">
        <f>6989+3192</f>
        <v>10181</v>
      </c>
      <c r="G20" s="91">
        <v>7542</v>
      </c>
      <c r="H20" s="131">
        <v>11009</v>
      </c>
      <c r="I20" s="131">
        <v>9408</v>
      </c>
      <c r="J20" s="131">
        <v>8049</v>
      </c>
      <c r="K20" s="131">
        <f>6238+1257</f>
        <v>7495</v>
      </c>
      <c r="L20" s="131">
        <v>6824</v>
      </c>
      <c r="M20" s="131">
        <f>5070+536</f>
        <v>5606</v>
      </c>
      <c r="N20" s="131">
        <v>4965</v>
      </c>
      <c r="O20" s="100">
        <v>6018</v>
      </c>
      <c r="P20" s="67">
        <f t="shared" si="0"/>
        <v>89723</v>
      </c>
      <c r="R20" s="80"/>
    </row>
    <row r="21" spans="1:18" ht="20.100000000000001" customHeight="1" x14ac:dyDescent="0.15">
      <c r="A21" s="228"/>
      <c r="B21" s="212"/>
      <c r="C21" s="133" t="s">
        <v>204</v>
      </c>
      <c r="D21" s="131">
        <f>68+4842</f>
        <v>4910</v>
      </c>
      <c r="E21" s="131">
        <f>141+2120</f>
        <v>2261</v>
      </c>
      <c r="F21" s="131">
        <f>122+5707</f>
        <v>5829</v>
      </c>
      <c r="G21" s="91">
        <v>7000</v>
      </c>
      <c r="H21" s="131">
        <v>5532</v>
      </c>
      <c r="I21" s="131">
        <v>8811</v>
      </c>
      <c r="J21" s="131">
        <v>7287</v>
      </c>
      <c r="K21" s="131">
        <f>956+5466</f>
        <v>6422</v>
      </c>
      <c r="L21" s="131">
        <v>5800</v>
      </c>
      <c r="M21" s="131">
        <f>7794+222</f>
        <v>8016</v>
      </c>
      <c r="N21" s="131">
        <v>5817</v>
      </c>
      <c r="O21" s="100">
        <v>6490</v>
      </c>
      <c r="P21" s="67">
        <f t="shared" si="0"/>
        <v>74175</v>
      </c>
      <c r="R21" s="80"/>
    </row>
    <row r="22" spans="1:18" ht="20.100000000000001" customHeight="1" x14ac:dyDescent="0.15">
      <c r="A22" s="228"/>
      <c r="B22" s="212"/>
      <c r="C22" s="133" t="s">
        <v>203</v>
      </c>
      <c r="D22" s="131">
        <f>167+326</f>
        <v>493</v>
      </c>
      <c r="E22" s="131">
        <f>56+143</f>
        <v>199</v>
      </c>
      <c r="F22" s="131">
        <f>0+8</f>
        <v>8</v>
      </c>
      <c r="G22" s="91">
        <v>165</v>
      </c>
      <c r="H22" s="131">
        <v>26</v>
      </c>
      <c r="I22" s="131">
        <v>12</v>
      </c>
      <c r="J22" s="131">
        <v>1</v>
      </c>
      <c r="K22" s="131">
        <v>0</v>
      </c>
      <c r="L22" s="131">
        <v>5</v>
      </c>
      <c r="M22" s="131">
        <v>101</v>
      </c>
      <c r="N22" s="131">
        <v>358</v>
      </c>
      <c r="O22" s="100">
        <v>566</v>
      </c>
      <c r="P22" s="67">
        <f t="shared" si="0"/>
        <v>1934</v>
      </c>
      <c r="R22" s="80"/>
    </row>
    <row r="23" spans="1:18" ht="20.100000000000001" customHeight="1" x14ac:dyDescent="0.15">
      <c r="A23" s="228"/>
      <c r="B23" s="212"/>
      <c r="C23" s="133" t="s">
        <v>202</v>
      </c>
      <c r="D23" s="131">
        <f>768+160</f>
        <v>928</v>
      </c>
      <c r="E23" s="131">
        <f>83+247</f>
        <v>330</v>
      </c>
      <c r="F23" s="131">
        <f>106+106</f>
        <v>212</v>
      </c>
      <c r="G23" s="91">
        <v>258</v>
      </c>
      <c r="H23" s="131">
        <v>127</v>
      </c>
      <c r="I23" s="131">
        <v>924</v>
      </c>
      <c r="J23" s="131">
        <v>34</v>
      </c>
      <c r="K23" s="131">
        <v>642</v>
      </c>
      <c r="L23" s="131">
        <v>24</v>
      </c>
      <c r="M23" s="131">
        <v>78</v>
      </c>
      <c r="N23" s="131">
        <v>286</v>
      </c>
      <c r="O23" s="100">
        <v>695</v>
      </c>
      <c r="P23" s="67">
        <f t="shared" si="0"/>
        <v>4538</v>
      </c>
      <c r="R23" s="80"/>
    </row>
    <row r="24" spans="1:18" ht="20.100000000000001" customHeight="1" x14ac:dyDescent="0.15">
      <c r="A24" s="228"/>
      <c r="B24" s="212"/>
      <c r="C24" s="133" t="s">
        <v>201</v>
      </c>
      <c r="D24" s="131">
        <v>305</v>
      </c>
      <c r="E24" s="131">
        <f>63+292</f>
        <v>355</v>
      </c>
      <c r="F24" s="131">
        <f>33+55</f>
        <v>88</v>
      </c>
      <c r="G24" s="91">
        <v>375</v>
      </c>
      <c r="H24" s="131">
        <v>196</v>
      </c>
      <c r="I24" s="131">
        <v>152</v>
      </c>
      <c r="J24" s="131">
        <v>252</v>
      </c>
      <c r="K24" s="131">
        <f>4+50</f>
        <v>54</v>
      </c>
      <c r="L24" s="131">
        <v>93</v>
      </c>
      <c r="M24" s="131">
        <f>112+699</f>
        <v>811</v>
      </c>
      <c r="N24" s="131">
        <v>1047</v>
      </c>
      <c r="O24" s="100">
        <v>1047</v>
      </c>
      <c r="P24" s="67">
        <f t="shared" si="0"/>
        <v>4775</v>
      </c>
      <c r="R24" s="80"/>
    </row>
    <row r="25" spans="1:18" ht="20.100000000000001" customHeight="1" x14ac:dyDescent="0.15">
      <c r="A25" s="228"/>
      <c r="B25" s="212"/>
      <c r="C25" s="133" t="s">
        <v>200</v>
      </c>
      <c r="D25" s="131">
        <v>0</v>
      </c>
      <c r="E25" s="131">
        <f>0+0</f>
        <v>0</v>
      </c>
      <c r="F25" s="131">
        <f>0+0</f>
        <v>0</v>
      </c>
      <c r="G25" s="91">
        <f>K25+O25+S25</f>
        <v>0</v>
      </c>
      <c r="H25" s="131">
        <v>0</v>
      </c>
      <c r="I25" s="131">
        <v>0</v>
      </c>
      <c r="J25" s="131">
        <v>0</v>
      </c>
      <c r="K25" s="131">
        <v>0</v>
      </c>
      <c r="L25" s="131">
        <v>0</v>
      </c>
      <c r="M25" s="131">
        <v>4</v>
      </c>
      <c r="N25" s="131">
        <v>0</v>
      </c>
      <c r="O25" s="100">
        <v>0</v>
      </c>
      <c r="P25" s="67">
        <f t="shared" si="0"/>
        <v>4</v>
      </c>
      <c r="R25" s="80"/>
    </row>
    <row r="26" spans="1:18" ht="20.100000000000001" customHeight="1" x14ac:dyDescent="0.15">
      <c r="A26" s="228"/>
      <c r="B26" s="212"/>
      <c r="C26" s="133" t="s">
        <v>199</v>
      </c>
      <c r="D26" s="131">
        <v>268</v>
      </c>
      <c r="E26" s="131">
        <f>0+355</f>
        <v>355</v>
      </c>
      <c r="F26" s="131">
        <f>0+359</f>
        <v>359</v>
      </c>
      <c r="G26" s="91">
        <v>563</v>
      </c>
      <c r="H26" s="131">
        <v>176</v>
      </c>
      <c r="I26" s="131">
        <v>560</v>
      </c>
      <c r="J26" s="131">
        <v>832</v>
      </c>
      <c r="K26" s="131">
        <v>460</v>
      </c>
      <c r="L26" s="131">
        <v>202</v>
      </c>
      <c r="M26" s="131">
        <v>550</v>
      </c>
      <c r="N26" s="131">
        <v>241</v>
      </c>
      <c r="O26" s="100">
        <v>522</v>
      </c>
      <c r="P26" s="67">
        <f t="shared" si="0"/>
        <v>5088</v>
      </c>
      <c r="R26" s="80"/>
    </row>
    <row r="27" spans="1:18" ht="20.100000000000001" customHeight="1" x14ac:dyDescent="0.15">
      <c r="A27" s="228"/>
      <c r="B27" s="212"/>
      <c r="C27" s="133" t="s">
        <v>198</v>
      </c>
      <c r="D27" s="131">
        <v>0</v>
      </c>
      <c r="E27" s="131">
        <v>0</v>
      </c>
      <c r="F27" s="131">
        <f>0+0</f>
        <v>0</v>
      </c>
      <c r="G27" s="91">
        <f>K27+O27+S27</f>
        <v>0</v>
      </c>
      <c r="H27" s="131">
        <v>0</v>
      </c>
      <c r="I27" s="131">
        <v>0</v>
      </c>
      <c r="J27" s="131">
        <v>0</v>
      </c>
      <c r="K27" s="128">
        <v>0</v>
      </c>
      <c r="L27" s="128">
        <v>0</v>
      </c>
      <c r="M27" s="128">
        <v>0</v>
      </c>
      <c r="N27" s="128">
        <v>0</v>
      </c>
      <c r="O27" s="102">
        <v>0</v>
      </c>
      <c r="P27" s="67">
        <f t="shared" si="0"/>
        <v>0</v>
      </c>
      <c r="R27" s="80"/>
    </row>
    <row r="28" spans="1:18" ht="20.100000000000001" customHeight="1" x14ac:dyDescent="0.15">
      <c r="A28" s="228"/>
      <c r="B28" s="212"/>
      <c r="C28" s="133" t="s">
        <v>197</v>
      </c>
      <c r="D28" s="131">
        <v>855</v>
      </c>
      <c r="E28" s="131">
        <f>0+740</f>
        <v>740</v>
      </c>
      <c r="F28" s="131">
        <f>0+712</f>
        <v>712</v>
      </c>
      <c r="G28" s="91">
        <v>360</v>
      </c>
      <c r="H28" s="131">
        <v>342</v>
      </c>
      <c r="I28" s="131">
        <v>1381</v>
      </c>
      <c r="J28" s="131">
        <v>813</v>
      </c>
      <c r="K28" s="131">
        <v>694</v>
      </c>
      <c r="L28" s="131">
        <v>614</v>
      </c>
      <c r="M28" s="131">
        <v>881</v>
      </c>
      <c r="N28" s="131">
        <v>815</v>
      </c>
      <c r="O28" s="100">
        <v>707</v>
      </c>
      <c r="P28" s="67">
        <f t="shared" si="0"/>
        <v>8914</v>
      </c>
      <c r="R28" s="80"/>
    </row>
    <row r="29" spans="1:18" ht="20.100000000000001" customHeight="1" x14ac:dyDescent="0.15">
      <c r="A29" s="228"/>
      <c r="B29" s="212"/>
      <c r="C29" s="133" t="s">
        <v>196</v>
      </c>
      <c r="D29" s="131">
        <v>255</v>
      </c>
      <c r="E29" s="131">
        <v>1094</v>
      </c>
      <c r="F29" s="131">
        <f>0+1549</f>
        <v>1549</v>
      </c>
      <c r="G29" s="91">
        <v>2489</v>
      </c>
      <c r="H29" s="131">
        <v>1007</v>
      </c>
      <c r="I29" s="131">
        <v>2244</v>
      </c>
      <c r="J29" s="131">
        <v>1732</v>
      </c>
      <c r="K29" s="131">
        <v>994</v>
      </c>
      <c r="L29" s="131">
        <v>816</v>
      </c>
      <c r="M29" s="131">
        <v>1096</v>
      </c>
      <c r="N29" s="131">
        <v>774</v>
      </c>
      <c r="O29" s="100">
        <v>1531</v>
      </c>
      <c r="P29" s="67">
        <f t="shared" si="0"/>
        <v>15581</v>
      </c>
      <c r="R29" s="80"/>
    </row>
    <row r="30" spans="1:18" ht="20.100000000000001" customHeight="1" x14ac:dyDescent="0.15">
      <c r="A30" s="228"/>
      <c r="B30" s="212"/>
      <c r="C30" s="133" t="s">
        <v>195</v>
      </c>
      <c r="D30" s="131">
        <v>1239</v>
      </c>
      <c r="E30" s="131">
        <f>14+1791</f>
        <v>1805</v>
      </c>
      <c r="F30" s="131">
        <f>0+2086</f>
        <v>2086</v>
      </c>
      <c r="G30" s="91">
        <v>1926</v>
      </c>
      <c r="H30" s="131">
        <v>1134</v>
      </c>
      <c r="I30" s="131">
        <v>1790</v>
      </c>
      <c r="J30" s="131">
        <v>2336</v>
      </c>
      <c r="K30" s="131">
        <v>1419</v>
      </c>
      <c r="L30" s="131">
        <v>1568</v>
      </c>
      <c r="M30" s="131">
        <v>2698</v>
      </c>
      <c r="N30" s="131">
        <v>1645</v>
      </c>
      <c r="O30" s="100">
        <v>2412</v>
      </c>
      <c r="P30" s="67">
        <f t="shared" si="0"/>
        <v>22058</v>
      </c>
      <c r="R30" s="80"/>
    </row>
    <row r="31" spans="1:18" ht="20.100000000000001" customHeight="1" x14ac:dyDescent="0.15">
      <c r="A31" s="228"/>
      <c r="B31" s="212"/>
      <c r="C31" s="133" t="s">
        <v>194</v>
      </c>
      <c r="D31" s="131">
        <v>114</v>
      </c>
      <c r="E31" s="131">
        <v>346</v>
      </c>
      <c r="F31" s="131">
        <f>0+526</f>
        <v>526</v>
      </c>
      <c r="G31" s="91">
        <v>24</v>
      </c>
      <c r="H31" s="131">
        <v>0</v>
      </c>
      <c r="I31" s="131">
        <v>0</v>
      </c>
      <c r="J31" s="131">
        <v>25</v>
      </c>
      <c r="K31" s="131">
        <v>112</v>
      </c>
      <c r="L31" s="131">
        <v>94</v>
      </c>
      <c r="M31" s="131">
        <v>0</v>
      </c>
      <c r="N31" s="131">
        <v>0</v>
      </c>
      <c r="O31" s="100">
        <v>0</v>
      </c>
      <c r="P31" s="67">
        <f t="shared" si="0"/>
        <v>1241</v>
      </c>
      <c r="R31" s="80"/>
    </row>
    <row r="32" spans="1:18" ht="20.100000000000001" customHeight="1" x14ac:dyDescent="0.15">
      <c r="A32" s="228"/>
      <c r="B32" s="212"/>
      <c r="C32" s="133" t="s">
        <v>193</v>
      </c>
      <c r="D32" s="131">
        <v>7</v>
      </c>
      <c r="E32" s="131">
        <v>0</v>
      </c>
      <c r="F32" s="131">
        <f>0+372</f>
        <v>372</v>
      </c>
      <c r="G32" s="91">
        <f>K32+O32+S32</f>
        <v>0</v>
      </c>
      <c r="H32" s="131">
        <v>0</v>
      </c>
      <c r="I32" s="131">
        <v>0</v>
      </c>
      <c r="J32" s="131">
        <v>0</v>
      </c>
      <c r="K32" s="131">
        <v>0</v>
      </c>
      <c r="L32" s="131">
        <v>0</v>
      </c>
      <c r="M32" s="131">
        <v>0</v>
      </c>
      <c r="N32" s="131">
        <v>0</v>
      </c>
      <c r="O32" s="100">
        <v>0</v>
      </c>
      <c r="P32" s="67">
        <f t="shared" si="0"/>
        <v>379</v>
      </c>
      <c r="R32" s="80"/>
    </row>
    <row r="33" spans="1:18" ht="20.100000000000001" customHeight="1" x14ac:dyDescent="0.15">
      <c r="A33" s="228"/>
      <c r="B33" s="212"/>
      <c r="C33" s="133" t="s">
        <v>192</v>
      </c>
      <c r="D33" s="131">
        <v>21</v>
      </c>
      <c r="E33" s="131">
        <v>3</v>
      </c>
      <c r="F33" s="131">
        <f>27+0</f>
        <v>27</v>
      </c>
      <c r="G33" s="91">
        <v>30</v>
      </c>
      <c r="H33" s="131">
        <v>85</v>
      </c>
      <c r="I33" s="131">
        <v>87</v>
      </c>
      <c r="J33" s="131">
        <v>82</v>
      </c>
      <c r="K33" s="131">
        <v>162</v>
      </c>
      <c r="L33" s="131">
        <v>82</v>
      </c>
      <c r="M33" s="131">
        <v>0</v>
      </c>
      <c r="N33" s="131">
        <v>72</v>
      </c>
      <c r="O33" s="100">
        <v>14</v>
      </c>
      <c r="P33" s="67">
        <f t="shared" si="0"/>
        <v>665</v>
      </c>
      <c r="R33" s="80"/>
    </row>
    <row r="34" spans="1:18" ht="20.100000000000001" customHeight="1" x14ac:dyDescent="0.15">
      <c r="A34" s="228"/>
      <c r="B34" s="212"/>
      <c r="C34" s="133" t="s">
        <v>191</v>
      </c>
      <c r="D34" s="131">
        <v>190</v>
      </c>
      <c r="E34" s="131">
        <f>362+177</f>
        <v>539</v>
      </c>
      <c r="F34" s="131">
        <f>286+0</f>
        <v>286</v>
      </c>
      <c r="G34" s="91">
        <v>355</v>
      </c>
      <c r="H34" s="131">
        <v>11</v>
      </c>
      <c r="I34" s="131">
        <v>53</v>
      </c>
      <c r="J34" s="131">
        <v>77</v>
      </c>
      <c r="K34" s="131">
        <v>36</v>
      </c>
      <c r="L34" s="131">
        <v>0</v>
      </c>
      <c r="M34" s="131">
        <v>60</v>
      </c>
      <c r="N34" s="131">
        <v>40</v>
      </c>
      <c r="O34" s="100">
        <v>57</v>
      </c>
      <c r="P34" s="67">
        <f t="shared" si="0"/>
        <v>1704</v>
      </c>
      <c r="R34" s="80"/>
    </row>
    <row r="35" spans="1:18" ht="20.100000000000001" customHeight="1" x14ac:dyDescent="0.15">
      <c r="A35" s="228"/>
      <c r="B35" s="212"/>
      <c r="C35" s="133" t="s">
        <v>190</v>
      </c>
      <c r="D35" s="131">
        <v>0</v>
      </c>
      <c r="E35" s="131">
        <v>0</v>
      </c>
      <c r="F35" s="131">
        <f>0+0</f>
        <v>0</v>
      </c>
      <c r="G35" s="91">
        <f>K35+O35+S35</f>
        <v>0</v>
      </c>
      <c r="H35" s="70">
        <v>0</v>
      </c>
      <c r="I35" s="70">
        <v>0</v>
      </c>
      <c r="J35" s="70">
        <v>0</v>
      </c>
      <c r="K35" s="71">
        <v>0</v>
      </c>
      <c r="L35" s="131">
        <v>0</v>
      </c>
      <c r="M35" s="72">
        <v>0</v>
      </c>
      <c r="N35" s="72">
        <v>0</v>
      </c>
      <c r="O35" s="101">
        <v>0</v>
      </c>
      <c r="P35" s="67">
        <f t="shared" si="0"/>
        <v>0</v>
      </c>
      <c r="R35" s="80"/>
    </row>
    <row r="36" spans="1:18" ht="20.100000000000001" customHeight="1" x14ac:dyDescent="0.15">
      <c r="A36" s="228"/>
      <c r="B36" s="212"/>
      <c r="C36" s="133" t="s">
        <v>185</v>
      </c>
      <c r="D36" s="131">
        <f>165+20</f>
        <v>185</v>
      </c>
      <c r="E36" s="131">
        <f>5696+124</f>
        <v>5820</v>
      </c>
      <c r="F36" s="131">
        <f>788+2968</f>
        <v>3756</v>
      </c>
      <c r="G36" s="91">
        <v>5583</v>
      </c>
      <c r="H36" s="131">
        <v>7500</v>
      </c>
      <c r="I36" s="131">
        <v>3826</v>
      </c>
      <c r="J36" s="131">
        <v>9248</v>
      </c>
      <c r="K36" s="131">
        <f>6044+112</f>
        <v>6156</v>
      </c>
      <c r="L36" s="131">
        <v>2770</v>
      </c>
      <c r="M36" s="131">
        <f>198+2970</f>
        <v>3168</v>
      </c>
      <c r="N36" s="131">
        <v>2838</v>
      </c>
      <c r="O36" s="100">
        <v>3113</v>
      </c>
      <c r="P36" s="67">
        <f t="shared" si="0"/>
        <v>53963</v>
      </c>
      <c r="R36" s="80"/>
    </row>
    <row r="37" spans="1:18" ht="20.100000000000001" customHeight="1" x14ac:dyDescent="0.15">
      <c r="A37" s="228"/>
      <c r="B37" s="213"/>
      <c r="C37" s="19" t="s">
        <v>184</v>
      </c>
      <c r="D37" s="25">
        <f t="shared" ref="D37:K37" si="4">SUM(D20:D36)</f>
        <v>16531</v>
      </c>
      <c r="E37" s="25">
        <f t="shared" si="4"/>
        <v>19712</v>
      </c>
      <c r="F37" s="25">
        <f t="shared" si="4"/>
        <v>25991</v>
      </c>
      <c r="G37" s="94">
        <f t="shared" si="4"/>
        <v>26670</v>
      </c>
      <c r="H37" s="25">
        <f t="shared" si="4"/>
        <v>27145</v>
      </c>
      <c r="I37" s="25">
        <f t="shared" si="4"/>
        <v>29248</v>
      </c>
      <c r="J37" s="25">
        <f t="shared" si="4"/>
        <v>30768</v>
      </c>
      <c r="K37" s="25">
        <f t="shared" si="4"/>
        <v>24646</v>
      </c>
      <c r="L37" s="25">
        <v>18892</v>
      </c>
      <c r="M37" s="25">
        <f>SUM(M20:M36)</f>
        <v>23069</v>
      </c>
      <c r="N37" s="25">
        <f>SUM(N20:N36)</f>
        <v>18898</v>
      </c>
      <c r="O37" s="25">
        <f>SUM(O20:O36)</f>
        <v>23172</v>
      </c>
      <c r="P37" s="67">
        <f t="shared" si="0"/>
        <v>284742</v>
      </c>
      <c r="R37" s="80"/>
    </row>
    <row r="38" spans="1:18" ht="20.100000000000001" customHeight="1" x14ac:dyDescent="0.15">
      <c r="A38" s="228"/>
      <c r="B38" s="211" t="s">
        <v>189</v>
      </c>
      <c r="C38" s="133" t="s">
        <v>188</v>
      </c>
      <c r="D38" s="131">
        <v>57</v>
      </c>
      <c r="E38" s="131">
        <v>26</v>
      </c>
      <c r="F38" s="131">
        <f>0+118</f>
        <v>118</v>
      </c>
      <c r="G38" s="91">
        <v>79</v>
      </c>
      <c r="H38" s="131">
        <v>171</v>
      </c>
      <c r="I38" s="131">
        <v>62</v>
      </c>
      <c r="J38" s="72">
        <v>113</v>
      </c>
      <c r="K38" s="131">
        <f>21+139</f>
        <v>160</v>
      </c>
      <c r="L38" s="131">
        <v>34</v>
      </c>
      <c r="M38" s="131">
        <f>140+30</f>
        <v>170</v>
      </c>
      <c r="N38" s="131">
        <v>72</v>
      </c>
      <c r="O38" s="100">
        <v>26</v>
      </c>
      <c r="P38" s="67">
        <f t="shared" si="0"/>
        <v>1088</v>
      </c>
      <c r="R38" s="80"/>
    </row>
    <row r="39" spans="1:18" ht="20.100000000000001" customHeight="1" x14ac:dyDescent="0.15">
      <c r="A39" s="228"/>
      <c r="B39" s="212"/>
      <c r="C39" s="133" t="s">
        <v>187</v>
      </c>
      <c r="D39" s="131">
        <v>45</v>
      </c>
      <c r="E39" s="131">
        <v>44</v>
      </c>
      <c r="F39" s="131">
        <f>0+97</f>
        <v>97</v>
      </c>
      <c r="G39" s="91">
        <v>180</v>
      </c>
      <c r="H39" s="131">
        <v>20</v>
      </c>
      <c r="I39" s="131">
        <v>94</v>
      </c>
      <c r="J39" s="131">
        <v>134</v>
      </c>
      <c r="K39" s="131">
        <v>93</v>
      </c>
      <c r="L39" s="131">
        <v>76</v>
      </c>
      <c r="M39" s="131">
        <v>80</v>
      </c>
      <c r="N39" s="131">
        <v>0</v>
      </c>
      <c r="O39" s="100">
        <v>126</v>
      </c>
      <c r="P39" s="67">
        <f t="shared" si="0"/>
        <v>989</v>
      </c>
      <c r="R39" s="80"/>
    </row>
    <row r="40" spans="1:18" ht="20.100000000000001" customHeight="1" x14ac:dyDescent="0.15">
      <c r="A40" s="228"/>
      <c r="B40" s="212"/>
      <c r="C40" s="133" t="s">
        <v>186</v>
      </c>
      <c r="D40" s="131">
        <v>2</v>
      </c>
      <c r="E40" s="131">
        <v>204</v>
      </c>
      <c r="F40" s="131">
        <f>0+272</f>
        <v>272</v>
      </c>
      <c r="G40" s="91">
        <v>161</v>
      </c>
      <c r="H40" s="131">
        <v>84</v>
      </c>
      <c r="I40" s="131">
        <v>167</v>
      </c>
      <c r="J40" s="131">
        <v>193</v>
      </c>
      <c r="K40" s="131">
        <v>218</v>
      </c>
      <c r="L40" s="131">
        <v>131</v>
      </c>
      <c r="M40" s="131">
        <v>208</v>
      </c>
      <c r="N40" s="131">
        <v>112</v>
      </c>
      <c r="O40" s="100">
        <v>220</v>
      </c>
      <c r="P40" s="67">
        <f t="shared" si="0"/>
        <v>1972</v>
      </c>
      <c r="R40" s="80"/>
    </row>
    <row r="41" spans="1:18" ht="20.100000000000001" customHeight="1" x14ac:dyDescent="0.15">
      <c r="A41" s="228"/>
      <c r="B41" s="212"/>
      <c r="C41" s="133" t="s">
        <v>185</v>
      </c>
      <c r="D41" s="131">
        <f>29+152</f>
        <v>181</v>
      </c>
      <c r="E41" s="131">
        <f>44+406</f>
        <v>450</v>
      </c>
      <c r="F41" s="131">
        <f>1+281</f>
        <v>282</v>
      </c>
      <c r="G41" s="91">
        <v>434</v>
      </c>
      <c r="H41" s="131">
        <v>254</v>
      </c>
      <c r="I41" s="131">
        <v>584</v>
      </c>
      <c r="J41" s="131">
        <v>388</v>
      </c>
      <c r="K41" s="131">
        <f>14+268</f>
        <v>282</v>
      </c>
      <c r="L41" s="131">
        <v>421</v>
      </c>
      <c r="M41" s="131">
        <f>247+1</f>
        <v>248</v>
      </c>
      <c r="N41" s="131">
        <v>187</v>
      </c>
      <c r="O41" s="100">
        <v>158</v>
      </c>
      <c r="P41" s="67">
        <f t="shared" si="0"/>
        <v>3869</v>
      </c>
      <c r="R41" s="80"/>
    </row>
    <row r="42" spans="1:18" ht="20.100000000000001" customHeight="1" x14ac:dyDescent="0.15">
      <c r="A42" s="228"/>
      <c r="B42" s="213"/>
      <c r="C42" s="19" t="s">
        <v>184</v>
      </c>
      <c r="D42" s="25">
        <f t="shared" ref="D42:K42" si="5">SUM(D38:D41)</f>
        <v>285</v>
      </c>
      <c r="E42" s="25">
        <f t="shared" si="5"/>
        <v>724</v>
      </c>
      <c r="F42" s="25">
        <f t="shared" si="5"/>
        <v>769</v>
      </c>
      <c r="G42" s="94">
        <f t="shared" si="5"/>
        <v>854</v>
      </c>
      <c r="H42" s="25">
        <f t="shared" si="5"/>
        <v>529</v>
      </c>
      <c r="I42" s="25">
        <f t="shared" si="5"/>
        <v>907</v>
      </c>
      <c r="J42" s="25">
        <f t="shared" si="5"/>
        <v>828</v>
      </c>
      <c r="K42" s="25">
        <f t="shared" si="5"/>
        <v>753</v>
      </c>
      <c r="L42" s="25">
        <v>662</v>
      </c>
      <c r="M42" s="25">
        <f>SUM(M38:M41)</f>
        <v>706</v>
      </c>
      <c r="N42" s="25">
        <f>SUM(N38:N41)</f>
        <v>371</v>
      </c>
      <c r="O42" s="25">
        <f>SUM(O38:O41)</f>
        <v>530</v>
      </c>
      <c r="P42" s="67">
        <f t="shared" si="0"/>
        <v>7918</v>
      </c>
      <c r="R42" s="80"/>
    </row>
    <row r="43" spans="1:18" ht="20.100000000000001" customHeight="1" x14ac:dyDescent="0.15">
      <c r="A43" s="228"/>
      <c r="B43" s="216" t="s">
        <v>183</v>
      </c>
      <c r="C43" s="217"/>
      <c r="D43" s="131">
        <f>86+54</f>
        <v>140</v>
      </c>
      <c r="E43" s="131">
        <f>2+55</f>
        <v>57</v>
      </c>
      <c r="F43" s="131">
        <f>132+163</f>
        <v>295</v>
      </c>
      <c r="G43" s="91">
        <v>160</v>
      </c>
      <c r="H43" s="131">
        <v>140</v>
      </c>
      <c r="I43" s="131">
        <v>218</v>
      </c>
      <c r="J43" s="131">
        <v>239</v>
      </c>
      <c r="K43" s="131">
        <f>68+44</f>
        <v>112</v>
      </c>
      <c r="L43" s="131">
        <v>253</v>
      </c>
      <c r="M43" s="131">
        <f>24+105</f>
        <v>129</v>
      </c>
      <c r="N43" s="131">
        <v>248</v>
      </c>
      <c r="O43" s="100">
        <v>122</v>
      </c>
      <c r="P43" s="67">
        <f t="shared" si="0"/>
        <v>2113</v>
      </c>
      <c r="R43" s="80"/>
    </row>
    <row r="44" spans="1:18" ht="24.75" customHeight="1" x14ac:dyDescent="0.15">
      <c r="A44" s="229"/>
      <c r="B44" s="230" t="s">
        <v>182</v>
      </c>
      <c r="C44" s="231"/>
      <c r="D44" s="24">
        <f t="shared" ref="D44:K44" si="6">D37+D42+D43</f>
        <v>16956</v>
      </c>
      <c r="E44" s="24">
        <f t="shared" si="6"/>
        <v>20493</v>
      </c>
      <c r="F44" s="24">
        <f t="shared" si="6"/>
        <v>27055</v>
      </c>
      <c r="G44" s="93">
        <f t="shared" si="6"/>
        <v>27684</v>
      </c>
      <c r="H44" s="24">
        <f t="shared" si="6"/>
        <v>27814</v>
      </c>
      <c r="I44" s="24">
        <f t="shared" si="6"/>
        <v>30373</v>
      </c>
      <c r="J44" s="24">
        <f t="shared" si="6"/>
        <v>31835</v>
      </c>
      <c r="K44" s="24">
        <f t="shared" si="6"/>
        <v>25511</v>
      </c>
      <c r="L44" s="24">
        <v>19807</v>
      </c>
      <c r="M44" s="24">
        <f>M37+M42+M43</f>
        <v>23904</v>
      </c>
      <c r="N44" s="24">
        <f>N37+N42+N43</f>
        <v>19517</v>
      </c>
      <c r="O44" s="24">
        <f>O37+O42+O43</f>
        <v>23824</v>
      </c>
      <c r="P44" s="68">
        <f t="shared" si="0"/>
        <v>294773</v>
      </c>
      <c r="R44" s="80"/>
    </row>
    <row r="45" spans="1:18" s="2" customFormat="1" ht="26.45" customHeight="1" x14ac:dyDescent="0.15">
      <c r="A45" s="235" t="s">
        <v>181</v>
      </c>
      <c r="B45" s="236"/>
      <c r="C45" s="237"/>
      <c r="D45" s="26">
        <f t="shared" ref="D45:K45" si="7">SUM(D19,D44)</f>
        <v>72050</v>
      </c>
      <c r="E45" s="26">
        <f t="shared" si="7"/>
        <v>75254</v>
      </c>
      <c r="F45" s="26">
        <f t="shared" si="7"/>
        <v>94748</v>
      </c>
      <c r="G45" s="95">
        <f t="shared" si="7"/>
        <v>101342</v>
      </c>
      <c r="H45" s="26">
        <f t="shared" si="7"/>
        <v>101407</v>
      </c>
      <c r="I45" s="26">
        <f t="shared" si="7"/>
        <v>106776</v>
      </c>
      <c r="J45" s="26">
        <f t="shared" si="7"/>
        <v>101133</v>
      </c>
      <c r="K45" s="26">
        <f t="shared" si="7"/>
        <v>83828</v>
      </c>
      <c r="L45" s="26">
        <v>83544</v>
      </c>
      <c r="M45" s="26">
        <f>SUM(M19,M44)</f>
        <v>93327</v>
      </c>
      <c r="N45" s="26">
        <f>SUM(N19,N44)</f>
        <v>79471</v>
      </c>
      <c r="O45" s="26">
        <f>SUM(O19,O44)</f>
        <v>95080</v>
      </c>
      <c r="P45" s="73">
        <f t="shared" si="0"/>
        <v>1087960</v>
      </c>
      <c r="R45" s="80"/>
    </row>
    <row r="46" spans="1:18" ht="19.5" customHeight="1" x14ac:dyDescent="0.15">
      <c r="A46" s="218" t="s">
        <v>180</v>
      </c>
      <c r="B46" s="219"/>
      <c r="C46" s="217"/>
      <c r="D46" s="131">
        <f>26943+27980</f>
        <v>54923</v>
      </c>
      <c r="E46" s="131">
        <f>21917+21948</f>
        <v>43865</v>
      </c>
      <c r="F46" s="131">
        <f>25680+20872</f>
        <v>46552</v>
      </c>
      <c r="G46" s="91">
        <v>38608</v>
      </c>
      <c r="H46" s="131">
        <v>40145</v>
      </c>
      <c r="I46" s="131">
        <v>38552</v>
      </c>
      <c r="J46" s="131">
        <v>35632</v>
      </c>
      <c r="K46" s="131">
        <f>12064+22418</f>
        <v>34482</v>
      </c>
      <c r="L46" s="131">
        <v>28946</v>
      </c>
      <c r="M46" s="131">
        <f>10871+16154</f>
        <v>27025</v>
      </c>
      <c r="N46" s="131">
        <v>27813</v>
      </c>
      <c r="O46" s="100">
        <v>46787</v>
      </c>
      <c r="P46" s="67">
        <f t="shared" si="0"/>
        <v>463330</v>
      </c>
      <c r="R46" s="80"/>
    </row>
    <row r="47" spans="1:18" ht="20.100000000000001" customHeight="1" x14ac:dyDescent="0.15">
      <c r="A47" s="218" t="s">
        <v>179</v>
      </c>
      <c r="B47" s="219"/>
      <c r="C47" s="217"/>
      <c r="D47" s="132">
        <f>1018+199</f>
        <v>1217</v>
      </c>
      <c r="E47" s="131">
        <f>67+293</f>
        <v>360</v>
      </c>
      <c r="F47" s="131">
        <f>149+564</f>
        <v>713</v>
      </c>
      <c r="G47" s="91">
        <v>440</v>
      </c>
      <c r="H47" s="132">
        <v>718</v>
      </c>
      <c r="I47" s="132">
        <v>503</v>
      </c>
      <c r="J47" s="132">
        <v>753</v>
      </c>
      <c r="K47" s="132">
        <f>19+493</f>
        <v>512</v>
      </c>
      <c r="L47" s="132">
        <v>657</v>
      </c>
      <c r="M47" s="132">
        <f>400+467</f>
        <v>867</v>
      </c>
      <c r="N47" s="132">
        <v>623</v>
      </c>
      <c r="O47" s="99">
        <v>1975</v>
      </c>
      <c r="P47" s="75">
        <f t="shared" si="0"/>
        <v>9338</v>
      </c>
      <c r="R47" s="80"/>
    </row>
    <row r="48" spans="1:18" s="2" customFormat="1" ht="27.75" customHeight="1" thickBot="1" x14ac:dyDescent="0.2">
      <c r="A48" s="232" t="s">
        <v>178</v>
      </c>
      <c r="B48" s="233"/>
      <c r="C48" s="234"/>
      <c r="D48" s="76">
        <f t="shared" ref="D48:K48" si="8">D45+D46+D47</f>
        <v>128190</v>
      </c>
      <c r="E48" s="76">
        <f t="shared" si="8"/>
        <v>119479</v>
      </c>
      <c r="F48" s="76">
        <f t="shared" si="8"/>
        <v>142013</v>
      </c>
      <c r="G48" s="96">
        <f t="shared" si="8"/>
        <v>140390</v>
      </c>
      <c r="H48" s="76">
        <f t="shared" si="8"/>
        <v>142270</v>
      </c>
      <c r="I48" s="76">
        <f t="shared" si="8"/>
        <v>145831</v>
      </c>
      <c r="J48" s="76">
        <f t="shared" si="8"/>
        <v>137518</v>
      </c>
      <c r="K48" s="76">
        <f t="shared" si="8"/>
        <v>118822</v>
      </c>
      <c r="L48" s="76">
        <v>113147</v>
      </c>
      <c r="M48" s="76">
        <f>M45+M46+M47</f>
        <v>121219</v>
      </c>
      <c r="N48" s="76">
        <f>N45+N46+N47</f>
        <v>107907</v>
      </c>
      <c r="O48" s="76">
        <f>O45+O46+O47</f>
        <v>143842</v>
      </c>
      <c r="P48" s="77">
        <f t="shared" si="0"/>
        <v>1560628</v>
      </c>
      <c r="R48" s="80"/>
    </row>
    <row r="49" spans="4:12" ht="20.100000000000001" customHeight="1" x14ac:dyDescent="0.15"/>
    <row r="50" spans="4:12" x14ac:dyDescent="0.15">
      <c r="L50" s="29"/>
    </row>
    <row r="51" spans="4:12" x14ac:dyDescent="0.15">
      <c r="F51" s="29"/>
    </row>
    <row r="54" spans="4:12" x14ac:dyDescent="0.15">
      <c r="D54" s="29"/>
      <c r="E54" s="29"/>
    </row>
    <row r="55" spans="4:12" x14ac:dyDescent="0.15">
      <c r="D55" s="29"/>
    </row>
    <row r="56" spans="4:12" x14ac:dyDescent="0.15">
      <c r="D56" s="29"/>
    </row>
    <row r="57" spans="4:12" x14ac:dyDescent="0.15">
      <c r="D57" s="29"/>
    </row>
  </sheetData>
  <mergeCells count="17">
    <mergeCell ref="A46:C46"/>
    <mergeCell ref="A47:C47"/>
    <mergeCell ref="A48:C48"/>
    <mergeCell ref="A20:A44"/>
    <mergeCell ref="B20:B37"/>
    <mergeCell ref="B38:B42"/>
    <mergeCell ref="B43:C43"/>
    <mergeCell ref="B44:C44"/>
    <mergeCell ref="A45:C45"/>
    <mergeCell ref="A1:P1"/>
    <mergeCell ref="A2:C2"/>
    <mergeCell ref="A3:A19"/>
    <mergeCell ref="B3:B9"/>
    <mergeCell ref="B10:B16"/>
    <mergeCell ref="B17:C17"/>
    <mergeCell ref="B18:C18"/>
    <mergeCell ref="B19:C19"/>
  </mergeCells>
  <phoneticPr fontId="14" type="noConversion"/>
  <pageMargins left="1.3385826771653544" right="0.51181102362204722" top="0.70866141732283472" bottom="0.35433070866141736" header="0.11811023622047245" footer="0.11811023622047245"/>
  <pageSetup paperSize="9" scale="50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pageSetUpPr fitToPage="1"/>
  </sheetPr>
  <dimension ref="A1:R57"/>
  <sheetViews>
    <sheetView zoomScale="80" zoomScaleNormal="80" workbookViewId="0">
      <pane xSplit="3" ySplit="2" topLeftCell="D3" activePane="bottomRight" state="frozen"/>
      <selection pane="topRight" activeCell="D1" sqref="D1"/>
      <selection pane="bottomLeft" activeCell="A3" sqref="A3"/>
      <selection pane="bottomRight" activeCell="O48" sqref="O48"/>
    </sheetView>
  </sheetViews>
  <sheetFormatPr defaultRowHeight="13.5" x14ac:dyDescent="0.15"/>
  <cols>
    <col min="1" max="1" width="5.21875" customWidth="1"/>
    <col min="2" max="2" width="5.44140625" customWidth="1"/>
    <col min="3" max="3" width="11.44140625" customWidth="1"/>
    <col min="4" max="13" width="13.5546875" customWidth="1"/>
    <col min="14" max="14" width="13.5546875" style="65" customWidth="1"/>
    <col min="15" max="15" width="13.5546875" customWidth="1"/>
    <col min="16" max="16" width="14.6640625" style="2" customWidth="1"/>
    <col min="18" max="18" width="9.88671875" bestFit="1" customWidth="1"/>
  </cols>
  <sheetData>
    <row r="1" spans="1:18" ht="51" customHeight="1" thickBot="1" x14ac:dyDescent="0.2">
      <c r="A1" s="223" t="s">
        <v>177</v>
      </c>
      <c r="B1" s="223"/>
      <c r="C1" s="223"/>
      <c r="D1" s="223"/>
      <c r="E1" s="223"/>
      <c r="F1" s="223"/>
      <c r="G1" s="223"/>
      <c r="H1" s="223"/>
      <c r="I1" s="223"/>
      <c r="J1" s="223"/>
      <c r="K1" s="223"/>
      <c r="L1" s="223"/>
      <c r="M1" s="223"/>
      <c r="N1" s="223"/>
      <c r="O1" s="223"/>
      <c r="P1" s="223"/>
    </row>
    <row r="2" spans="1:18" ht="25.5" customHeight="1" x14ac:dyDescent="0.15">
      <c r="A2" s="224" t="s">
        <v>176</v>
      </c>
      <c r="B2" s="225"/>
      <c r="C2" s="226"/>
      <c r="D2" s="98" t="s">
        <v>175</v>
      </c>
      <c r="E2" s="98" t="s">
        <v>174</v>
      </c>
      <c r="F2" s="98" t="s">
        <v>2</v>
      </c>
      <c r="G2" s="98" t="s">
        <v>3</v>
      </c>
      <c r="H2" s="98" t="s">
        <v>4</v>
      </c>
      <c r="I2" s="98" t="s">
        <v>5</v>
      </c>
      <c r="J2" s="98" t="s">
        <v>6</v>
      </c>
      <c r="K2" s="98" t="s">
        <v>7</v>
      </c>
      <c r="L2" s="98" t="s">
        <v>8</v>
      </c>
      <c r="M2" s="98" t="s">
        <v>9</v>
      </c>
      <c r="N2" s="98" t="s">
        <v>10</v>
      </c>
      <c r="O2" s="98" t="s">
        <v>11</v>
      </c>
      <c r="P2" s="9" t="s">
        <v>173</v>
      </c>
    </row>
    <row r="3" spans="1:18" ht="19.899999999999999" customHeight="1" x14ac:dyDescent="0.15">
      <c r="A3" s="227" t="s">
        <v>172</v>
      </c>
      <c r="B3" s="211" t="s">
        <v>171</v>
      </c>
      <c r="C3" s="97" t="s">
        <v>16</v>
      </c>
      <c r="D3" s="86">
        <v>46742</v>
      </c>
      <c r="E3" s="89">
        <v>56767</v>
      </c>
      <c r="F3" s="91">
        <f>62325+1</f>
        <v>62326</v>
      </c>
      <c r="G3" s="91">
        <v>62832</v>
      </c>
      <c r="H3" s="89">
        <v>58312</v>
      </c>
      <c r="I3" s="89">
        <f>56553+4</f>
        <v>56557</v>
      </c>
      <c r="J3" s="108">
        <f>56851+1</f>
        <v>56852</v>
      </c>
      <c r="K3" s="122">
        <f>1+53829</f>
        <v>53830</v>
      </c>
      <c r="L3" s="89">
        <v>62494</v>
      </c>
      <c r="M3" s="89">
        <f>5+42568</f>
        <v>42573</v>
      </c>
      <c r="N3" s="135">
        <f>59415+272</f>
        <v>59687</v>
      </c>
      <c r="O3" s="100">
        <v>62647</v>
      </c>
      <c r="P3" s="67">
        <f t="shared" ref="P3:P48" si="0">SUM(D3:O3)</f>
        <v>681619</v>
      </c>
      <c r="R3" s="80"/>
    </row>
    <row r="4" spans="1:18" ht="19.899999999999999" customHeight="1" x14ac:dyDescent="0.15">
      <c r="A4" s="228"/>
      <c r="B4" s="212"/>
      <c r="C4" s="97" t="s">
        <v>121</v>
      </c>
      <c r="D4" s="86">
        <v>7351</v>
      </c>
      <c r="E4" s="89">
        <f>1715+2374+4248</f>
        <v>8337</v>
      </c>
      <c r="F4" s="91">
        <f>3293+4776+3065</f>
        <v>11134</v>
      </c>
      <c r="G4" s="91">
        <f>2051+5786+9343</f>
        <v>17180</v>
      </c>
      <c r="H4" s="106">
        <f>2652+3410+3419</f>
        <v>9481</v>
      </c>
      <c r="I4" s="89">
        <f>2133+2280+4256</f>
        <v>8669</v>
      </c>
      <c r="J4" s="108">
        <f>1324+4691+1491</f>
        <v>7506</v>
      </c>
      <c r="K4" s="122">
        <f>1335+5585+2665</f>
        <v>9585</v>
      </c>
      <c r="L4" s="124">
        <f>3941+3311+3500</f>
        <v>10752</v>
      </c>
      <c r="M4" s="89">
        <f>2886+3434+3210</f>
        <v>9530</v>
      </c>
      <c r="N4" s="135">
        <f>4469+1897+2683</f>
        <v>9049</v>
      </c>
      <c r="O4" s="148">
        <f>4119+1976+1227</f>
        <v>7322</v>
      </c>
      <c r="P4" s="67">
        <f t="shared" si="0"/>
        <v>115896</v>
      </c>
      <c r="R4" s="80"/>
    </row>
    <row r="5" spans="1:18" ht="19.899999999999999" customHeight="1" x14ac:dyDescent="0.15">
      <c r="A5" s="228"/>
      <c r="B5" s="212"/>
      <c r="C5" s="97" t="s">
        <v>170</v>
      </c>
      <c r="D5" s="86">
        <v>3217</v>
      </c>
      <c r="E5" s="89">
        <f>2142+1444</f>
        <v>3586</v>
      </c>
      <c r="F5" s="91">
        <f>1018+2151</f>
        <v>3169</v>
      </c>
      <c r="G5" s="91">
        <f>1847+1320</f>
        <v>3167</v>
      </c>
      <c r="H5" s="89">
        <f>1052+2158</f>
        <v>3210</v>
      </c>
      <c r="I5" s="89">
        <f>1770+1210</f>
        <v>2980</v>
      </c>
      <c r="J5" s="108">
        <f>1076+1467</f>
        <v>2543</v>
      </c>
      <c r="K5" s="122">
        <f>1312+1632</f>
        <v>2944</v>
      </c>
      <c r="L5" s="124">
        <f>1198+1533</f>
        <v>2731</v>
      </c>
      <c r="M5" s="89">
        <f>1324+1296</f>
        <v>2620</v>
      </c>
      <c r="N5" s="135">
        <f>1231+1534</f>
        <v>2765</v>
      </c>
      <c r="O5" s="148">
        <f>2120+1173</f>
        <v>3293</v>
      </c>
      <c r="P5" s="67">
        <f t="shared" si="0"/>
        <v>36225</v>
      </c>
      <c r="R5" s="80"/>
    </row>
    <row r="6" spans="1:18" ht="19.899999999999999" customHeight="1" x14ac:dyDescent="0.15">
      <c r="A6" s="228"/>
      <c r="B6" s="212"/>
      <c r="C6" s="97" t="s">
        <v>169</v>
      </c>
      <c r="D6" s="89">
        <v>0</v>
      </c>
      <c r="E6" s="89">
        <v>0</v>
      </c>
      <c r="F6" s="91">
        <v>0</v>
      </c>
      <c r="G6" s="91">
        <v>0</v>
      </c>
      <c r="H6" s="89"/>
      <c r="I6" s="89"/>
      <c r="J6" s="89"/>
      <c r="K6" s="122">
        <v>0</v>
      </c>
      <c r="L6" s="124">
        <v>0</v>
      </c>
      <c r="M6" s="89"/>
      <c r="N6" s="135">
        <v>0</v>
      </c>
      <c r="O6" s="100"/>
      <c r="P6" s="67">
        <f t="shared" si="0"/>
        <v>0</v>
      </c>
      <c r="R6" s="80"/>
    </row>
    <row r="7" spans="1:18" ht="19.899999999999999" customHeight="1" x14ac:dyDescent="0.15">
      <c r="A7" s="228"/>
      <c r="B7" s="212"/>
      <c r="C7" s="97" t="s">
        <v>119</v>
      </c>
      <c r="D7" s="89">
        <v>0</v>
      </c>
      <c r="E7" s="89">
        <v>0</v>
      </c>
      <c r="F7" s="91">
        <v>0</v>
      </c>
      <c r="G7" s="91"/>
      <c r="H7" s="89"/>
      <c r="I7" s="89"/>
      <c r="J7" s="89"/>
      <c r="K7" s="122">
        <v>6</v>
      </c>
      <c r="L7" s="124">
        <v>3</v>
      </c>
      <c r="M7" s="89"/>
      <c r="N7" s="135">
        <v>0</v>
      </c>
      <c r="O7" s="100"/>
      <c r="P7" s="67">
        <f t="shared" si="0"/>
        <v>9</v>
      </c>
      <c r="R7" s="80"/>
    </row>
    <row r="8" spans="1:18" ht="19.899999999999999" customHeight="1" x14ac:dyDescent="0.15">
      <c r="A8" s="228"/>
      <c r="B8" s="212"/>
      <c r="C8" s="97" t="s">
        <v>19</v>
      </c>
      <c r="D8" s="86">
        <v>92</v>
      </c>
      <c r="E8" s="89">
        <v>27</v>
      </c>
      <c r="F8" s="91">
        <f>5+101</f>
        <v>106</v>
      </c>
      <c r="G8" s="91">
        <f>28+162</f>
        <v>190</v>
      </c>
      <c r="H8" s="89">
        <f>9+97</f>
        <v>106</v>
      </c>
      <c r="I8" s="89">
        <f>172</f>
        <v>172</v>
      </c>
      <c r="J8" s="110">
        <v>189</v>
      </c>
      <c r="K8" s="122">
        <f>57+9</f>
        <v>66</v>
      </c>
      <c r="L8" s="124">
        <f>53+40</f>
        <v>93</v>
      </c>
      <c r="M8" s="89">
        <v>132</v>
      </c>
      <c r="N8" s="135">
        <f>240+3</f>
        <v>243</v>
      </c>
      <c r="O8" s="149">
        <f>179+196</f>
        <v>375</v>
      </c>
      <c r="P8" s="67">
        <f t="shared" si="0"/>
        <v>1791</v>
      </c>
      <c r="R8" s="80"/>
    </row>
    <row r="9" spans="1:18" ht="19.899999999999999" customHeight="1" x14ac:dyDescent="0.15">
      <c r="A9" s="228"/>
      <c r="B9" s="213"/>
      <c r="C9" s="3" t="s">
        <v>67</v>
      </c>
      <c r="D9" s="23">
        <f t="shared" ref="D9:O9" si="1">SUM(D3:D8)</f>
        <v>57402</v>
      </c>
      <c r="E9" s="23">
        <f t="shared" si="1"/>
        <v>68717</v>
      </c>
      <c r="F9" s="23">
        <f t="shared" si="1"/>
        <v>76735</v>
      </c>
      <c r="G9" s="23">
        <f t="shared" si="1"/>
        <v>83369</v>
      </c>
      <c r="H9" s="23">
        <f t="shared" si="1"/>
        <v>71109</v>
      </c>
      <c r="I9" s="23">
        <f t="shared" si="1"/>
        <v>68378</v>
      </c>
      <c r="J9" s="23">
        <f t="shared" si="1"/>
        <v>67090</v>
      </c>
      <c r="K9" s="23">
        <f t="shared" si="1"/>
        <v>66431</v>
      </c>
      <c r="L9" s="23">
        <f t="shared" si="1"/>
        <v>76073</v>
      </c>
      <c r="M9" s="23">
        <f t="shared" si="1"/>
        <v>54855</v>
      </c>
      <c r="N9" s="23">
        <f t="shared" si="1"/>
        <v>71744</v>
      </c>
      <c r="O9" s="23">
        <f t="shared" si="1"/>
        <v>73637</v>
      </c>
      <c r="P9" s="67">
        <f t="shared" si="0"/>
        <v>835540</v>
      </c>
      <c r="R9" s="80"/>
    </row>
    <row r="10" spans="1:18" ht="19.899999999999999" customHeight="1" x14ac:dyDescent="0.15">
      <c r="A10" s="228"/>
      <c r="B10" s="211" t="s">
        <v>123</v>
      </c>
      <c r="C10" s="15" t="s">
        <v>168</v>
      </c>
      <c r="D10" s="86">
        <v>54</v>
      </c>
      <c r="E10" s="89">
        <v>5</v>
      </c>
      <c r="F10" s="89">
        <f>85+59</f>
        <v>144</v>
      </c>
      <c r="G10" s="91">
        <v>191</v>
      </c>
      <c r="H10" s="107">
        <f>102+13</f>
        <v>115</v>
      </c>
      <c r="I10" s="86">
        <f>1+183</f>
        <v>184</v>
      </c>
      <c r="J10" s="111">
        <f>52+51</f>
        <v>103</v>
      </c>
      <c r="K10" s="113">
        <f>116+173</f>
        <v>289</v>
      </c>
      <c r="L10" s="125">
        <f>165+158</f>
        <v>323</v>
      </c>
      <c r="M10" s="86">
        <f>82+130</f>
        <v>212</v>
      </c>
      <c r="N10" s="136">
        <f>41+105</f>
        <v>146</v>
      </c>
      <c r="O10" s="103">
        <v>56</v>
      </c>
      <c r="P10" s="67">
        <f t="shared" si="0"/>
        <v>1822</v>
      </c>
      <c r="R10" s="80"/>
    </row>
    <row r="11" spans="1:18" ht="19.899999999999999" customHeight="1" x14ac:dyDescent="0.15">
      <c r="A11" s="228"/>
      <c r="B11" s="212"/>
      <c r="C11" s="15" t="s">
        <v>121</v>
      </c>
      <c r="D11" s="86">
        <v>3</v>
      </c>
      <c r="E11" s="89">
        <v>0</v>
      </c>
      <c r="F11" s="89">
        <f>23</f>
        <v>23</v>
      </c>
      <c r="G11" s="91">
        <f>21+9</f>
        <v>30</v>
      </c>
      <c r="H11" s="107">
        <v>9</v>
      </c>
      <c r="I11" s="86">
        <f>5+6</f>
        <v>11</v>
      </c>
      <c r="J11" s="111">
        <f>5+6</f>
        <v>11</v>
      </c>
      <c r="K11" s="113">
        <v>30</v>
      </c>
      <c r="L11" s="125">
        <f>54+26</f>
        <v>80</v>
      </c>
      <c r="M11" s="86">
        <f>25+12</f>
        <v>37</v>
      </c>
      <c r="N11" s="136">
        <f>35+48</f>
        <v>83</v>
      </c>
      <c r="O11" s="103">
        <v>17</v>
      </c>
      <c r="P11" s="67">
        <f t="shared" si="0"/>
        <v>334</v>
      </c>
      <c r="R11" s="80"/>
    </row>
    <row r="12" spans="1:18" ht="19.899999999999999" customHeight="1" x14ac:dyDescent="0.15">
      <c r="A12" s="228"/>
      <c r="B12" s="212"/>
      <c r="C12" s="15" t="s">
        <v>132</v>
      </c>
      <c r="D12" s="86">
        <v>0</v>
      </c>
      <c r="E12" s="89">
        <v>2</v>
      </c>
      <c r="F12" s="89">
        <v>93</v>
      </c>
      <c r="G12" s="91">
        <v>3</v>
      </c>
      <c r="H12" s="107">
        <v>19</v>
      </c>
      <c r="I12" s="86"/>
      <c r="J12" s="111">
        <f>14+17</f>
        <v>31</v>
      </c>
      <c r="K12" s="113">
        <v>25</v>
      </c>
      <c r="L12" s="125">
        <v>0</v>
      </c>
      <c r="M12" s="86"/>
      <c r="N12" s="136">
        <v>0</v>
      </c>
      <c r="O12" s="150">
        <v>13</v>
      </c>
      <c r="P12" s="67">
        <f t="shared" si="0"/>
        <v>186</v>
      </c>
      <c r="R12" s="80"/>
    </row>
    <row r="13" spans="1:18" ht="19.899999999999999" customHeight="1" x14ac:dyDescent="0.15">
      <c r="A13" s="228"/>
      <c r="B13" s="212"/>
      <c r="C13" s="15" t="s">
        <v>138</v>
      </c>
      <c r="D13" s="86">
        <v>211</v>
      </c>
      <c r="E13" s="89">
        <v>168</v>
      </c>
      <c r="F13" s="89">
        <v>60</v>
      </c>
      <c r="G13" s="91">
        <f>123</f>
        <v>123</v>
      </c>
      <c r="H13" s="86">
        <v>152</v>
      </c>
      <c r="I13" s="86">
        <v>31</v>
      </c>
      <c r="J13" s="109">
        <v>132</v>
      </c>
      <c r="K13" s="113">
        <v>158</v>
      </c>
      <c r="L13" s="125">
        <v>172</v>
      </c>
      <c r="M13" s="86">
        <v>144</v>
      </c>
      <c r="N13" s="136">
        <v>204</v>
      </c>
      <c r="O13" s="150">
        <f>109+9</f>
        <v>118</v>
      </c>
      <c r="P13" s="67">
        <f t="shared" si="0"/>
        <v>1673</v>
      </c>
      <c r="R13" s="80"/>
    </row>
    <row r="14" spans="1:18" ht="19.899999999999999" customHeight="1" x14ac:dyDescent="0.15">
      <c r="A14" s="228"/>
      <c r="B14" s="212"/>
      <c r="C14" s="15" t="s">
        <v>137</v>
      </c>
      <c r="D14" s="86">
        <v>64</v>
      </c>
      <c r="E14" s="89">
        <f>8+36</f>
        <v>44</v>
      </c>
      <c r="F14" s="89">
        <f>1+17</f>
        <v>18</v>
      </c>
      <c r="G14" s="91">
        <v>35</v>
      </c>
      <c r="H14" s="107">
        <f>1+51</f>
        <v>52</v>
      </c>
      <c r="I14" s="86">
        <f>1+45</f>
        <v>46</v>
      </c>
      <c r="J14" s="112">
        <f>1+81</f>
        <v>82</v>
      </c>
      <c r="K14" s="113">
        <f>36+4</f>
        <v>40</v>
      </c>
      <c r="L14" s="125">
        <f>41+3</f>
        <v>44</v>
      </c>
      <c r="M14" s="86">
        <f>15+5</f>
        <v>20</v>
      </c>
      <c r="N14" s="136">
        <v>24</v>
      </c>
      <c r="O14" s="150">
        <f>31+3</f>
        <v>34</v>
      </c>
      <c r="P14" s="67">
        <f t="shared" si="0"/>
        <v>503</v>
      </c>
      <c r="R14" s="80"/>
    </row>
    <row r="15" spans="1:18" ht="19.899999999999999" customHeight="1" x14ac:dyDescent="0.15">
      <c r="A15" s="228"/>
      <c r="B15" s="212"/>
      <c r="C15" s="15" t="s">
        <v>19</v>
      </c>
      <c r="D15" s="86">
        <v>1</v>
      </c>
      <c r="E15" s="89">
        <v>3</v>
      </c>
      <c r="F15" s="89">
        <v>0</v>
      </c>
      <c r="G15" s="91" t="s">
        <v>49</v>
      </c>
      <c r="H15" s="105">
        <v>2</v>
      </c>
      <c r="I15" s="86">
        <v>1</v>
      </c>
      <c r="J15" s="112">
        <v>1</v>
      </c>
      <c r="K15" s="113">
        <v>0</v>
      </c>
      <c r="L15" s="125">
        <v>0</v>
      </c>
      <c r="M15" s="86"/>
      <c r="N15" s="136">
        <v>4</v>
      </c>
      <c r="O15" s="150">
        <v>1</v>
      </c>
      <c r="P15" s="67">
        <f t="shared" si="0"/>
        <v>13</v>
      </c>
      <c r="R15" s="80"/>
    </row>
    <row r="16" spans="1:18" ht="19.899999999999999" customHeight="1" x14ac:dyDescent="0.15">
      <c r="A16" s="228"/>
      <c r="B16" s="213"/>
      <c r="C16" s="3" t="s">
        <v>67</v>
      </c>
      <c r="D16" s="23">
        <f t="shared" ref="D16:O16" si="2">SUM(D10:D15)</f>
        <v>333</v>
      </c>
      <c r="E16" s="23">
        <f t="shared" si="2"/>
        <v>222</v>
      </c>
      <c r="F16" s="23">
        <f t="shared" si="2"/>
        <v>338</v>
      </c>
      <c r="G16" s="23">
        <f t="shared" si="2"/>
        <v>382</v>
      </c>
      <c r="H16" s="23">
        <f t="shared" si="2"/>
        <v>349</v>
      </c>
      <c r="I16" s="23">
        <f t="shared" si="2"/>
        <v>273</v>
      </c>
      <c r="J16" s="23">
        <f t="shared" si="2"/>
        <v>360</v>
      </c>
      <c r="K16" s="23">
        <f t="shared" si="2"/>
        <v>542</v>
      </c>
      <c r="L16" s="23">
        <f t="shared" si="2"/>
        <v>619</v>
      </c>
      <c r="M16" s="23">
        <f t="shared" si="2"/>
        <v>413</v>
      </c>
      <c r="N16" s="23">
        <f t="shared" si="2"/>
        <v>461</v>
      </c>
      <c r="O16" s="23">
        <f t="shared" si="2"/>
        <v>239</v>
      </c>
      <c r="P16" s="67">
        <f t="shared" si="0"/>
        <v>4531</v>
      </c>
      <c r="R16" s="80"/>
    </row>
    <row r="17" spans="1:18" ht="19.5" customHeight="1" x14ac:dyDescent="0.15">
      <c r="A17" s="228"/>
      <c r="B17" s="214" t="s">
        <v>68</v>
      </c>
      <c r="C17" s="215"/>
      <c r="D17" s="86">
        <v>957</v>
      </c>
      <c r="E17" s="89">
        <f>783+670</f>
        <v>1453</v>
      </c>
      <c r="F17" s="89">
        <f>263+329</f>
        <v>592</v>
      </c>
      <c r="G17" s="91">
        <f>514+7</f>
        <v>521</v>
      </c>
      <c r="H17" s="86">
        <f>260+622</f>
        <v>882</v>
      </c>
      <c r="I17" s="86">
        <f>335+283</f>
        <v>618</v>
      </c>
      <c r="J17" s="113">
        <f>689+292</f>
        <v>981</v>
      </c>
      <c r="K17" s="113">
        <f>868+579</f>
        <v>1447</v>
      </c>
      <c r="L17" s="126">
        <f>964+297</f>
        <v>1261</v>
      </c>
      <c r="M17" s="86">
        <f>214+564</f>
        <v>778</v>
      </c>
      <c r="N17" s="138">
        <f>1315+304</f>
        <v>1619</v>
      </c>
      <c r="O17" s="152">
        <f>648+123</f>
        <v>771</v>
      </c>
      <c r="P17" s="67">
        <f t="shared" si="0"/>
        <v>11880</v>
      </c>
      <c r="R17" s="80"/>
    </row>
    <row r="18" spans="1:18" ht="19.899999999999999" customHeight="1" x14ac:dyDescent="0.15">
      <c r="A18" s="228"/>
      <c r="B18" s="216" t="s">
        <v>127</v>
      </c>
      <c r="C18" s="217"/>
      <c r="D18" s="86">
        <v>26</v>
      </c>
      <c r="E18" s="89">
        <v>77</v>
      </c>
      <c r="F18" s="89">
        <v>92</v>
      </c>
      <c r="G18" s="91">
        <v>42</v>
      </c>
      <c r="H18" s="89">
        <f>21+44</f>
        <v>65</v>
      </c>
      <c r="I18" s="89">
        <f>46+3</f>
        <v>49</v>
      </c>
      <c r="J18" s="89">
        <v>29</v>
      </c>
      <c r="K18" s="122">
        <f>36+6</f>
        <v>42</v>
      </c>
      <c r="L18" s="89">
        <v>133</v>
      </c>
      <c r="M18" s="89">
        <v>29</v>
      </c>
      <c r="N18" s="137">
        <f>65+1</f>
        <v>66</v>
      </c>
      <c r="O18" s="151">
        <f>23+3</f>
        <v>26</v>
      </c>
      <c r="P18" s="67">
        <f t="shared" si="0"/>
        <v>676</v>
      </c>
      <c r="R18" s="80"/>
    </row>
    <row r="19" spans="1:18" ht="26.45" customHeight="1" x14ac:dyDescent="0.15">
      <c r="A19" s="229"/>
      <c r="B19" s="230" t="s">
        <v>39</v>
      </c>
      <c r="C19" s="231"/>
      <c r="D19" s="24">
        <f t="shared" ref="D19:O19" si="3">D9+D18+D16+D17</f>
        <v>58718</v>
      </c>
      <c r="E19" s="24">
        <f t="shared" si="3"/>
        <v>70469</v>
      </c>
      <c r="F19" s="24">
        <f t="shared" si="3"/>
        <v>77757</v>
      </c>
      <c r="G19" s="24">
        <f t="shared" si="3"/>
        <v>84314</v>
      </c>
      <c r="H19" s="24">
        <f t="shared" si="3"/>
        <v>72405</v>
      </c>
      <c r="I19" s="24">
        <f>I9+I18+I16+I17</f>
        <v>69318</v>
      </c>
      <c r="J19" s="24">
        <f t="shared" si="3"/>
        <v>68460</v>
      </c>
      <c r="K19" s="24">
        <f t="shared" si="3"/>
        <v>68462</v>
      </c>
      <c r="L19" s="24">
        <f t="shared" si="3"/>
        <v>78086</v>
      </c>
      <c r="M19" s="24">
        <f t="shared" si="3"/>
        <v>56075</v>
      </c>
      <c r="N19" s="24">
        <f t="shared" si="3"/>
        <v>73890</v>
      </c>
      <c r="O19" s="24">
        <f t="shared" si="3"/>
        <v>74673</v>
      </c>
      <c r="P19" s="68">
        <f t="shared" si="0"/>
        <v>852627</v>
      </c>
      <c r="R19" s="80">
        <f>SUM(D19:M19)</f>
        <v>704064</v>
      </c>
    </row>
    <row r="20" spans="1:18" ht="19.5" customHeight="1" x14ac:dyDescent="0.15">
      <c r="A20" s="227" t="s">
        <v>21</v>
      </c>
      <c r="B20" s="211" t="s">
        <v>167</v>
      </c>
      <c r="C20" s="97" t="s">
        <v>74</v>
      </c>
      <c r="D20" s="89">
        <v>5731</v>
      </c>
      <c r="E20" s="89">
        <f>3130+1519</f>
        <v>4649</v>
      </c>
      <c r="F20" s="89">
        <f>6031+1110</f>
        <v>7141</v>
      </c>
      <c r="G20" s="91">
        <f>7175+2562</f>
        <v>9737</v>
      </c>
      <c r="H20" s="107">
        <f>6531+3724</f>
        <v>10255</v>
      </c>
      <c r="I20" s="89">
        <f>29+2985</f>
        <v>3014</v>
      </c>
      <c r="J20" s="114">
        <f>7190+3371</f>
        <v>10561</v>
      </c>
      <c r="K20" s="122">
        <f>3735+4190</f>
        <v>7925</v>
      </c>
      <c r="L20" s="127">
        <f>2561+6995</f>
        <v>9556</v>
      </c>
      <c r="M20" s="89">
        <f>151+2157</f>
        <v>2308</v>
      </c>
      <c r="N20" s="139">
        <f>2779+5279</f>
        <v>8058</v>
      </c>
      <c r="O20" s="153">
        <f>2587+7973</f>
        <v>10560</v>
      </c>
      <c r="P20" s="67">
        <f t="shared" si="0"/>
        <v>89495</v>
      </c>
      <c r="R20" s="80"/>
    </row>
    <row r="21" spans="1:18" ht="20.100000000000001" customHeight="1" x14ac:dyDescent="0.15">
      <c r="A21" s="228"/>
      <c r="B21" s="212"/>
      <c r="C21" s="97" t="s">
        <v>75</v>
      </c>
      <c r="D21" s="89">
        <v>4557</v>
      </c>
      <c r="E21" s="89">
        <f>95+599</f>
        <v>694</v>
      </c>
      <c r="F21" s="89">
        <v>2694</v>
      </c>
      <c r="G21" s="91">
        <f>4522+48</f>
        <v>4570</v>
      </c>
      <c r="H21" s="107">
        <f>12+7272</f>
        <v>7284</v>
      </c>
      <c r="I21" s="89">
        <v>6574</v>
      </c>
      <c r="J21" s="114">
        <f>6740+25</f>
        <v>6765</v>
      </c>
      <c r="K21" s="122">
        <f>6185+117</f>
        <v>6302</v>
      </c>
      <c r="L21" s="127">
        <f>6984+2</f>
        <v>6986</v>
      </c>
      <c r="M21" s="89">
        <f>100+6138</f>
        <v>6238</v>
      </c>
      <c r="N21" s="139">
        <f>4939+82</f>
        <v>5021</v>
      </c>
      <c r="O21" s="153">
        <f>5541+43</f>
        <v>5584</v>
      </c>
      <c r="P21" s="67">
        <f t="shared" si="0"/>
        <v>63269</v>
      </c>
      <c r="R21" s="80"/>
    </row>
    <row r="22" spans="1:18" ht="20.100000000000001" customHeight="1" x14ac:dyDescent="0.15">
      <c r="A22" s="228"/>
      <c r="B22" s="212"/>
      <c r="C22" s="97" t="s">
        <v>102</v>
      </c>
      <c r="D22" s="89">
        <v>588</v>
      </c>
      <c r="E22" s="89">
        <v>769</v>
      </c>
      <c r="F22" s="89">
        <f>729+566</f>
        <v>1295</v>
      </c>
      <c r="G22" s="91">
        <v>1195</v>
      </c>
      <c r="H22" s="107">
        <v>1550</v>
      </c>
      <c r="I22" s="89">
        <v>930</v>
      </c>
      <c r="J22" s="114">
        <v>1706</v>
      </c>
      <c r="K22" s="122">
        <v>1144</v>
      </c>
      <c r="L22" s="127">
        <v>506</v>
      </c>
      <c r="M22" s="89">
        <f>105</f>
        <v>105</v>
      </c>
      <c r="N22" s="139">
        <v>725</v>
      </c>
      <c r="O22" s="153">
        <v>1107</v>
      </c>
      <c r="P22" s="67">
        <f t="shared" si="0"/>
        <v>11620</v>
      </c>
      <c r="R22" s="80"/>
    </row>
    <row r="23" spans="1:18" ht="20.100000000000001" customHeight="1" x14ac:dyDescent="0.15">
      <c r="A23" s="228"/>
      <c r="B23" s="212"/>
      <c r="C23" s="97" t="s">
        <v>24</v>
      </c>
      <c r="D23" s="89">
        <v>56</v>
      </c>
      <c r="E23" s="89">
        <v>210</v>
      </c>
      <c r="F23" s="89">
        <f>60+18</f>
        <v>78</v>
      </c>
      <c r="G23" s="91">
        <f>268+90</f>
        <v>358</v>
      </c>
      <c r="H23" s="107">
        <v>815</v>
      </c>
      <c r="I23" s="89">
        <v>217</v>
      </c>
      <c r="J23" s="114">
        <v>661</v>
      </c>
      <c r="K23" s="122">
        <v>287</v>
      </c>
      <c r="L23" s="127">
        <f>296+78</f>
        <v>374</v>
      </c>
      <c r="M23" s="89"/>
      <c r="N23" s="139">
        <v>983</v>
      </c>
      <c r="O23" s="153">
        <f>565+201</f>
        <v>766</v>
      </c>
      <c r="P23" s="67">
        <f t="shared" si="0"/>
        <v>4805</v>
      </c>
      <c r="R23" s="80"/>
    </row>
    <row r="24" spans="1:18" ht="20.100000000000001" customHeight="1" x14ac:dyDescent="0.15">
      <c r="A24" s="228"/>
      <c r="B24" s="212"/>
      <c r="C24" s="97" t="s">
        <v>77</v>
      </c>
      <c r="D24" s="89">
        <v>310</v>
      </c>
      <c r="E24" s="89">
        <f>490+44</f>
        <v>534</v>
      </c>
      <c r="F24" s="89">
        <f>105+105</f>
        <v>210</v>
      </c>
      <c r="G24" s="91">
        <f>480+246</f>
        <v>726</v>
      </c>
      <c r="H24" s="107">
        <f>758+25</f>
        <v>783</v>
      </c>
      <c r="I24" s="89">
        <f>184+300</f>
        <v>484</v>
      </c>
      <c r="J24" s="114">
        <f>470+65</f>
        <v>535</v>
      </c>
      <c r="K24" s="122">
        <v>282</v>
      </c>
      <c r="L24" s="127">
        <f>22+73</f>
        <v>95</v>
      </c>
      <c r="M24" s="89">
        <f>36+1</f>
        <v>37</v>
      </c>
      <c r="N24" s="139">
        <v>4</v>
      </c>
      <c r="O24" s="153">
        <v>2</v>
      </c>
      <c r="P24" s="67">
        <f t="shared" si="0"/>
        <v>4002</v>
      </c>
      <c r="R24" s="80"/>
    </row>
    <row r="25" spans="1:18" ht="20.100000000000001" customHeight="1" x14ac:dyDescent="0.15">
      <c r="A25" s="228"/>
      <c r="B25" s="212"/>
      <c r="C25" s="97" t="s">
        <v>29</v>
      </c>
      <c r="D25" s="89">
        <v>0</v>
      </c>
      <c r="E25" s="89">
        <v>0</v>
      </c>
      <c r="F25" s="89">
        <v>0</v>
      </c>
      <c r="G25" s="91" t="s">
        <v>49</v>
      </c>
      <c r="H25" s="107">
        <v>0</v>
      </c>
      <c r="I25" s="89"/>
      <c r="J25" s="89"/>
      <c r="K25" s="122">
        <v>0</v>
      </c>
      <c r="L25" s="127">
        <v>0</v>
      </c>
      <c r="M25" s="89"/>
      <c r="N25" s="139">
        <v>0</v>
      </c>
      <c r="O25" s="153">
        <v>0</v>
      </c>
      <c r="P25" s="67">
        <f t="shared" si="0"/>
        <v>0</v>
      </c>
      <c r="R25" s="80"/>
    </row>
    <row r="26" spans="1:18" ht="20.100000000000001" customHeight="1" x14ac:dyDescent="0.15">
      <c r="A26" s="228"/>
      <c r="B26" s="212"/>
      <c r="C26" s="97" t="s">
        <v>79</v>
      </c>
      <c r="D26" s="89">
        <v>337</v>
      </c>
      <c r="E26" s="89">
        <v>400</v>
      </c>
      <c r="F26" s="89">
        <v>423</v>
      </c>
      <c r="G26" s="91">
        <v>801</v>
      </c>
      <c r="H26" s="107">
        <f>303+35</f>
        <v>338</v>
      </c>
      <c r="I26" s="89">
        <f>8+433</f>
        <v>441</v>
      </c>
      <c r="J26" s="115">
        <v>488</v>
      </c>
      <c r="K26" s="122">
        <v>525</v>
      </c>
      <c r="L26" s="127">
        <v>596</v>
      </c>
      <c r="M26" s="89">
        <f>5</f>
        <v>5</v>
      </c>
      <c r="N26" s="139">
        <v>71</v>
      </c>
      <c r="O26" s="153">
        <v>71</v>
      </c>
      <c r="P26" s="67">
        <f t="shared" si="0"/>
        <v>4496</v>
      </c>
      <c r="R26" s="80"/>
    </row>
    <row r="27" spans="1:18" ht="20.100000000000001" customHeight="1" x14ac:dyDescent="0.15">
      <c r="A27" s="228"/>
      <c r="B27" s="212"/>
      <c r="C27" s="97" t="s">
        <v>34</v>
      </c>
      <c r="D27" s="89">
        <v>0</v>
      </c>
      <c r="E27" s="89">
        <v>0</v>
      </c>
      <c r="F27" s="89">
        <v>0</v>
      </c>
      <c r="G27" s="91" t="s">
        <v>49</v>
      </c>
      <c r="H27" s="89"/>
      <c r="I27" s="89"/>
      <c r="J27" s="89"/>
      <c r="K27" s="122">
        <v>0</v>
      </c>
      <c r="L27" s="128">
        <v>0</v>
      </c>
      <c r="M27" s="69"/>
      <c r="N27" s="140">
        <v>0</v>
      </c>
      <c r="O27" s="154">
        <v>0</v>
      </c>
      <c r="P27" s="67">
        <f t="shared" si="0"/>
        <v>0</v>
      </c>
      <c r="R27" s="80"/>
    </row>
    <row r="28" spans="1:18" ht="20.100000000000001" customHeight="1" x14ac:dyDescent="0.15">
      <c r="A28" s="228"/>
      <c r="B28" s="212"/>
      <c r="C28" s="97" t="s">
        <v>82</v>
      </c>
      <c r="D28" s="89">
        <v>540</v>
      </c>
      <c r="E28" s="89">
        <v>730</v>
      </c>
      <c r="F28" s="89">
        <f>150+1904</f>
        <v>2054</v>
      </c>
      <c r="G28" s="91">
        <v>1319</v>
      </c>
      <c r="H28" s="89">
        <v>896</v>
      </c>
      <c r="I28" s="89">
        <v>439</v>
      </c>
      <c r="J28" s="116">
        <v>657</v>
      </c>
      <c r="K28" s="72">
        <v>639</v>
      </c>
      <c r="L28" s="127">
        <v>483</v>
      </c>
      <c r="M28" s="89">
        <f>1</f>
        <v>1</v>
      </c>
      <c r="N28" s="139">
        <v>1248</v>
      </c>
      <c r="O28" s="153">
        <v>1090</v>
      </c>
      <c r="P28" s="67">
        <f t="shared" si="0"/>
        <v>10096</v>
      </c>
      <c r="R28" s="80"/>
    </row>
    <row r="29" spans="1:18" ht="20.100000000000001" customHeight="1" x14ac:dyDescent="0.15">
      <c r="A29" s="228"/>
      <c r="B29" s="212"/>
      <c r="C29" s="97" t="s">
        <v>108</v>
      </c>
      <c r="D29" s="89">
        <v>822</v>
      </c>
      <c r="E29" s="89">
        <v>485</v>
      </c>
      <c r="F29" s="89">
        <v>857</v>
      </c>
      <c r="G29" s="91">
        <v>1575</v>
      </c>
      <c r="H29" s="107">
        <v>1606</v>
      </c>
      <c r="I29" s="89">
        <v>1199</v>
      </c>
      <c r="J29" s="89">
        <v>908</v>
      </c>
      <c r="K29" s="122">
        <v>1374</v>
      </c>
      <c r="L29" s="144">
        <v>1377</v>
      </c>
      <c r="M29" s="89">
        <v>1518</v>
      </c>
      <c r="N29" s="144">
        <v>1243</v>
      </c>
      <c r="O29" s="153">
        <v>0</v>
      </c>
      <c r="P29" s="67">
        <f t="shared" si="0"/>
        <v>12964</v>
      </c>
      <c r="R29" s="80"/>
    </row>
    <row r="30" spans="1:18" ht="20.100000000000001" customHeight="1" x14ac:dyDescent="0.15">
      <c r="A30" s="228"/>
      <c r="B30" s="212"/>
      <c r="C30" s="97" t="s">
        <v>110</v>
      </c>
      <c r="D30" s="89">
        <v>1674</v>
      </c>
      <c r="E30" s="89">
        <v>2485</v>
      </c>
      <c r="F30" s="89">
        <v>2342</v>
      </c>
      <c r="G30" s="91">
        <v>2755</v>
      </c>
      <c r="H30" s="107">
        <v>2131</v>
      </c>
      <c r="I30" s="89">
        <v>1730</v>
      </c>
      <c r="J30" s="89">
        <v>3290</v>
      </c>
      <c r="K30" s="122">
        <v>1408</v>
      </c>
      <c r="L30" s="144">
        <v>2381</v>
      </c>
      <c r="M30" s="89">
        <v>1733</v>
      </c>
      <c r="N30" s="144">
        <v>2578</v>
      </c>
      <c r="O30" s="153">
        <v>1478</v>
      </c>
      <c r="P30" s="67">
        <f t="shared" si="0"/>
        <v>25985</v>
      </c>
      <c r="R30" s="80"/>
    </row>
    <row r="31" spans="1:18" ht="20.100000000000001" customHeight="1" x14ac:dyDescent="0.15">
      <c r="A31" s="228"/>
      <c r="B31" s="212"/>
      <c r="C31" s="97" t="s">
        <v>27</v>
      </c>
      <c r="D31" s="89">
        <v>0</v>
      </c>
      <c r="E31" s="89">
        <v>0</v>
      </c>
      <c r="F31" s="89">
        <v>0</v>
      </c>
      <c r="G31" s="91" t="s">
        <v>49</v>
      </c>
      <c r="H31" s="89"/>
      <c r="I31" s="89"/>
      <c r="J31" s="89"/>
      <c r="K31" s="122">
        <v>0</v>
      </c>
      <c r="L31" s="127"/>
      <c r="M31" s="89"/>
      <c r="N31" s="139"/>
      <c r="O31" s="153">
        <v>1732</v>
      </c>
      <c r="P31" s="67">
        <f t="shared" si="0"/>
        <v>1732</v>
      </c>
      <c r="R31" s="80"/>
    </row>
    <row r="32" spans="1:18" ht="20.100000000000001" customHeight="1" x14ac:dyDescent="0.15">
      <c r="A32" s="228"/>
      <c r="B32" s="212"/>
      <c r="C32" s="97" t="s">
        <v>32</v>
      </c>
      <c r="D32" s="89">
        <v>0</v>
      </c>
      <c r="E32" s="89">
        <v>0</v>
      </c>
      <c r="F32" s="89">
        <v>57</v>
      </c>
      <c r="G32" s="91" t="s">
        <v>49</v>
      </c>
      <c r="H32" s="89"/>
      <c r="I32" s="89">
        <v>89</v>
      </c>
      <c r="J32" s="89"/>
      <c r="K32" s="122">
        <v>0</v>
      </c>
      <c r="L32" s="127">
        <v>0</v>
      </c>
      <c r="M32" s="89"/>
      <c r="N32" s="139">
        <v>0</v>
      </c>
      <c r="O32" s="153">
        <v>250</v>
      </c>
      <c r="P32" s="67">
        <f t="shared" si="0"/>
        <v>396</v>
      </c>
      <c r="R32" s="80"/>
    </row>
    <row r="33" spans="1:18" ht="20.100000000000001" customHeight="1" x14ac:dyDescent="0.15">
      <c r="A33" s="228"/>
      <c r="B33" s="212"/>
      <c r="C33" s="97" t="s">
        <v>50</v>
      </c>
      <c r="D33" s="89">
        <v>0</v>
      </c>
      <c r="E33" s="89">
        <v>2</v>
      </c>
      <c r="F33" s="89">
        <v>32</v>
      </c>
      <c r="G33" s="91">
        <v>105</v>
      </c>
      <c r="H33" s="89">
        <v>9</v>
      </c>
      <c r="I33" s="89">
        <v>86</v>
      </c>
      <c r="J33" s="89"/>
      <c r="K33" s="122">
        <v>81</v>
      </c>
      <c r="L33" s="127">
        <v>185</v>
      </c>
      <c r="M33" s="89">
        <f>34</f>
        <v>34</v>
      </c>
      <c r="N33" s="139">
        <f>1+61</f>
        <v>62</v>
      </c>
      <c r="O33" s="153">
        <v>127</v>
      </c>
      <c r="P33" s="67">
        <f t="shared" si="0"/>
        <v>723</v>
      </c>
      <c r="R33" s="80"/>
    </row>
    <row r="34" spans="1:18" ht="20.100000000000001" customHeight="1" x14ac:dyDescent="0.15">
      <c r="A34" s="228"/>
      <c r="B34" s="212"/>
      <c r="C34" s="97" t="s">
        <v>98</v>
      </c>
      <c r="D34" s="89">
        <v>32</v>
      </c>
      <c r="E34" s="89">
        <v>161</v>
      </c>
      <c r="F34" s="89">
        <v>48</v>
      </c>
      <c r="G34" s="91">
        <v>283</v>
      </c>
      <c r="H34" s="89">
        <v>198</v>
      </c>
      <c r="I34" s="89"/>
      <c r="J34" s="117">
        <v>63</v>
      </c>
      <c r="K34" s="122">
        <v>52</v>
      </c>
      <c r="L34" s="127">
        <v>9</v>
      </c>
      <c r="M34" s="89">
        <f>134</f>
        <v>134</v>
      </c>
      <c r="N34" s="139">
        <v>320</v>
      </c>
      <c r="O34" s="153">
        <v>72</v>
      </c>
      <c r="P34" s="67">
        <f t="shared" si="0"/>
        <v>1372</v>
      </c>
      <c r="R34" s="80"/>
    </row>
    <row r="35" spans="1:18" ht="20.100000000000001" customHeight="1" x14ac:dyDescent="0.15">
      <c r="A35" s="228"/>
      <c r="B35" s="212"/>
      <c r="C35" s="97" t="s">
        <v>166</v>
      </c>
      <c r="D35" s="89">
        <v>0</v>
      </c>
      <c r="E35" s="89"/>
      <c r="F35" s="89">
        <v>0</v>
      </c>
      <c r="G35" s="91" t="s">
        <v>49</v>
      </c>
      <c r="H35" s="104"/>
      <c r="I35" s="70"/>
      <c r="J35" s="117">
        <v>25</v>
      </c>
      <c r="K35" s="71">
        <v>0</v>
      </c>
      <c r="L35" s="127">
        <v>0</v>
      </c>
      <c r="M35" s="72"/>
      <c r="N35" s="141">
        <v>0</v>
      </c>
      <c r="O35" s="155">
        <v>0</v>
      </c>
      <c r="P35" s="67">
        <f t="shared" si="0"/>
        <v>25</v>
      </c>
      <c r="R35" s="80"/>
    </row>
    <row r="36" spans="1:18" ht="20.100000000000001" customHeight="1" x14ac:dyDescent="0.15">
      <c r="A36" s="228"/>
      <c r="B36" s="212"/>
      <c r="C36" s="97" t="s">
        <v>19</v>
      </c>
      <c r="D36" s="89">
        <v>3642</v>
      </c>
      <c r="E36" s="89">
        <f>1844+498</f>
        <v>2342</v>
      </c>
      <c r="F36" s="89">
        <f>260+3637</f>
        <v>3897</v>
      </c>
      <c r="G36" s="91">
        <f>385+4811</f>
        <v>5196</v>
      </c>
      <c r="H36" s="105">
        <f>7882+1886</f>
        <v>9768</v>
      </c>
      <c r="I36" s="89">
        <f>732+10431</f>
        <v>11163</v>
      </c>
      <c r="J36" s="118">
        <f>8767+219</f>
        <v>8986</v>
      </c>
      <c r="K36" s="122">
        <f>1663+12418</f>
        <v>14081</v>
      </c>
      <c r="L36" s="127">
        <f>825+7527</f>
        <v>8352</v>
      </c>
      <c r="M36" s="89">
        <f>7305+1636</f>
        <v>8941</v>
      </c>
      <c r="N36" s="139">
        <f>1103+9272</f>
        <v>10375</v>
      </c>
      <c r="O36" s="153">
        <f>1403+935</f>
        <v>2338</v>
      </c>
      <c r="P36" s="67">
        <f t="shared" si="0"/>
        <v>89081</v>
      </c>
      <c r="R36" s="80"/>
    </row>
    <row r="37" spans="1:18" ht="20.100000000000001" customHeight="1" x14ac:dyDescent="0.15">
      <c r="A37" s="228"/>
      <c r="B37" s="213"/>
      <c r="C37" s="19" t="s">
        <v>163</v>
      </c>
      <c r="D37" s="25">
        <f t="shared" ref="D37:O37" si="4">SUM(D20:D36)</f>
        <v>18289</v>
      </c>
      <c r="E37" s="25">
        <f t="shared" si="4"/>
        <v>13461</v>
      </c>
      <c r="F37" s="25">
        <f t="shared" si="4"/>
        <v>21128</v>
      </c>
      <c r="G37" s="25">
        <f t="shared" si="4"/>
        <v>28620</v>
      </c>
      <c r="H37" s="25">
        <f t="shared" si="4"/>
        <v>35633</v>
      </c>
      <c r="I37" s="25">
        <f t="shared" si="4"/>
        <v>26366</v>
      </c>
      <c r="J37" s="25">
        <f t="shared" si="4"/>
        <v>34645</v>
      </c>
      <c r="K37" s="25">
        <f t="shared" si="4"/>
        <v>34100</v>
      </c>
      <c r="L37" s="25">
        <f t="shared" si="4"/>
        <v>30900</v>
      </c>
      <c r="M37" s="25">
        <f t="shared" si="4"/>
        <v>21054</v>
      </c>
      <c r="N37" s="25">
        <f t="shared" si="4"/>
        <v>30688</v>
      </c>
      <c r="O37" s="25">
        <f t="shared" si="4"/>
        <v>25177</v>
      </c>
      <c r="P37" s="67">
        <f t="shared" si="0"/>
        <v>320061</v>
      </c>
      <c r="R37" s="80"/>
    </row>
    <row r="38" spans="1:18" ht="20.100000000000001" customHeight="1" x14ac:dyDescent="0.15">
      <c r="A38" s="228"/>
      <c r="B38" s="211" t="s">
        <v>124</v>
      </c>
      <c r="C38" s="97" t="s">
        <v>165</v>
      </c>
      <c r="D38" s="89">
        <v>13</v>
      </c>
      <c r="E38" s="89">
        <v>47</v>
      </c>
      <c r="F38" s="89">
        <v>13</v>
      </c>
      <c r="G38" s="91">
        <v>53</v>
      </c>
      <c r="H38" s="107">
        <v>6</v>
      </c>
      <c r="I38" s="89">
        <v>48</v>
      </c>
      <c r="J38" s="72">
        <v>28</v>
      </c>
      <c r="K38" s="122">
        <v>69</v>
      </c>
      <c r="L38" s="129">
        <v>137</v>
      </c>
      <c r="M38" s="89">
        <v>66</v>
      </c>
      <c r="N38" s="142">
        <v>11</v>
      </c>
      <c r="O38" s="156">
        <v>4</v>
      </c>
      <c r="P38" s="67">
        <f t="shared" si="0"/>
        <v>495</v>
      </c>
      <c r="R38" s="80"/>
    </row>
    <row r="39" spans="1:18" ht="20.100000000000001" customHeight="1" x14ac:dyDescent="0.15">
      <c r="A39" s="228"/>
      <c r="B39" s="212"/>
      <c r="C39" s="97" t="s">
        <v>46</v>
      </c>
      <c r="D39" s="89">
        <v>14</v>
      </c>
      <c r="E39" s="89">
        <v>5</v>
      </c>
      <c r="F39" s="89">
        <v>0</v>
      </c>
      <c r="G39" s="91">
        <v>12</v>
      </c>
      <c r="H39" s="89">
        <v>26</v>
      </c>
      <c r="I39" s="89">
        <v>32</v>
      </c>
      <c r="J39" s="119">
        <v>56</v>
      </c>
      <c r="K39" s="122">
        <v>12</v>
      </c>
      <c r="L39" s="129">
        <v>0</v>
      </c>
      <c r="M39" s="89">
        <f>23</f>
        <v>23</v>
      </c>
      <c r="N39" s="142">
        <v>0</v>
      </c>
      <c r="O39" s="156">
        <v>30</v>
      </c>
      <c r="P39" s="67">
        <f t="shared" si="0"/>
        <v>210</v>
      </c>
      <c r="R39" s="80"/>
    </row>
    <row r="40" spans="1:18" ht="20.100000000000001" customHeight="1" x14ac:dyDescent="0.15">
      <c r="A40" s="228"/>
      <c r="B40" s="212"/>
      <c r="C40" s="97" t="s">
        <v>164</v>
      </c>
      <c r="D40" s="89">
        <v>220</v>
      </c>
      <c r="E40" s="89">
        <v>91</v>
      </c>
      <c r="F40" s="89">
        <v>160</v>
      </c>
      <c r="G40" s="91">
        <v>86</v>
      </c>
      <c r="H40" s="107">
        <v>31</v>
      </c>
      <c r="I40" s="89">
        <v>61</v>
      </c>
      <c r="J40" s="89">
        <v>23</v>
      </c>
      <c r="K40" s="122">
        <v>123</v>
      </c>
      <c r="L40" s="129">
        <v>109</v>
      </c>
      <c r="M40" s="89">
        <v>97</v>
      </c>
      <c r="N40" s="142">
        <v>115</v>
      </c>
      <c r="O40" s="156">
        <v>123</v>
      </c>
      <c r="P40" s="67">
        <f t="shared" si="0"/>
        <v>1239</v>
      </c>
      <c r="R40" s="80"/>
    </row>
    <row r="41" spans="1:18" ht="20.100000000000001" customHeight="1" x14ac:dyDescent="0.15">
      <c r="A41" s="228"/>
      <c r="B41" s="212"/>
      <c r="C41" s="97" t="s">
        <v>19</v>
      </c>
      <c r="D41" s="89">
        <v>249</v>
      </c>
      <c r="E41" s="89">
        <f>48+23</f>
        <v>71</v>
      </c>
      <c r="F41" s="89">
        <f>81+67</f>
        <v>148</v>
      </c>
      <c r="G41" s="91">
        <f>13+77</f>
        <v>90</v>
      </c>
      <c r="H41" s="105">
        <f>37+127</f>
        <v>164</v>
      </c>
      <c r="I41" s="89">
        <f>111+30</f>
        <v>141</v>
      </c>
      <c r="J41" s="120">
        <f>48+83</f>
        <v>131</v>
      </c>
      <c r="K41" s="122">
        <f>155+37</f>
        <v>192</v>
      </c>
      <c r="L41" s="129">
        <f>104+37</f>
        <v>141</v>
      </c>
      <c r="M41" s="89">
        <f>26+43</f>
        <v>69</v>
      </c>
      <c r="N41" s="142">
        <f>63+26</f>
        <v>89</v>
      </c>
      <c r="O41" s="156">
        <f>131+15</f>
        <v>146</v>
      </c>
      <c r="P41" s="67">
        <f t="shared" si="0"/>
        <v>1631</v>
      </c>
      <c r="R41" s="80"/>
    </row>
    <row r="42" spans="1:18" ht="20.100000000000001" customHeight="1" x14ac:dyDescent="0.15">
      <c r="A42" s="228"/>
      <c r="B42" s="213"/>
      <c r="C42" s="19" t="s">
        <v>163</v>
      </c>
      <c r="D42" s="25">
        <f t="shared" ref="D42:O42" si="5">SUM(D38:D41)</f>
        <v>496</v>
      </c>
      <c r="E42" s="25">
        <f t="shared" si="5"/>
        <v>214</v>
      </c>
      <c r="F42" s="25">
        <f t="shared" si="5"/>
        <v>321</v>
      </c>
      <c r="G42" s="25">
        <f t="shared" si="5"/>
        <v>241</v>
      </c>
      <c r="H42" s="25">
        <f t="shared" si="5"/>
        <v>227</v>
      </c>
      <c r="I42" s="25">
        <f t="shared" si="5"/>
        <v>282</v>
      </c>
      <c r="J42" s="25">
        <f t="shared" si="5"/>
        <v>238</v>
      </c>
      <c r="K42" s="25">
        <f t="shared" si="5"/>
        <v>396</v>
      </c>
      <c r="L42" s="25">
        <f t="shared" si="5"/>
        <v>387</v>
      </c>
      <c r="M42" s="25">
        <f t="shared" si="5"/>
        <v>255</v>
      </c>
      <c r="N42" s="25">
        <f t="shared" si="5"/>
        <v>215</v>
      </c>
      <c r="O42" s="25">
        <f t="shared" si="5"/>
        <v>303</v>
      </c>
      <c r="P42" s="67">
        <f t="shared" si="0"/>
        <v>3575</v>
      </c>
      <c r="R42" s="80"/>
    </row>
    <row r="43" spans="1:18" ht="20.100000000000001" customHeight="1" x14ac:dyDescent="0.15">
      <c r="A43" s="228"/>
      <c r="B43" s="216" t="s">
        <v>127</v>
      </c>
      <c r="C43" s="217"/>
      <c r="D43" s="89">
        <v>231</v>
      </c>
      <c r="E43" s="89">
        <f>43+76</f>
        <v>119</v>
      </c>
      <c r="F43" s="89">
        <f>91+17</f>
        <v>108</v>
      </c>
      <c r="G43" s="91">
        <f>521+26</f>
        <v>547</v>
      </c>
      <c r="H43" s="89">
        <f>52+144</f>
        <v>196</v>
      </c>
      <c r="I43" s="89">
        <f>110+24</f>
        <v>134</v>
      </c>
      <c r="J43" s="121">
        <f>24+233</f>
        <v>257</v>
      </c>
      <c r="K43" s="122">
        <f>195+111</f>
        <v>306</v>
      </c>
      <c r="L43" s="130">
        <f>120+69</f>
        <v>189</v>
      </c>
      <c r="M43" s="89">
        <f>44+142</f>
        <v>186</v>
      </c>
      <c r="N43" s="143">
        <f>159+71</f>
        <v>230</v>
      </c>
      <c r="O43" s="157">
        <f>115+7</f>
        <v>122</v>
      </c>
      <c r="P43" s="67">
        <f t="shared" si="0"/>
        <v>2625</v>
      </c>
      <c r="R43" s="80"/>
    </row>
    <row r="44" spans="1:18" ht="24.75" customHeight="1" x14ac:dyDescent="0.15">
      <c r="A44" s="229"/>
      <c r="B44" s="230" t="s">
        <v>162</v>
      </c>
      <c r="C44" s="231"/>
      <c r="D44" s="24">
        <f t="shared" ref="D44:O44" si="6">D37+D42+D43</f>
        <v>19016</v>
      </c>
      <c r="E44" s="24">
        <f t="shared" si="6"/>
        <v>13794</v>
      </c>
      <c r="F44" s="24">
        <f t="shared" si="6"/>
        <v>21557</v>
      </c>
      <c r="G44" s="24">
        <f t="shared" si="6"/>
        <v>29408</v>
      </c>
      <c r="H44" s="24">
        <f t="shared" si="6"/>
        <v>36056</v>
      </c>
      <c r="I44" s="24">
        <f t="shared" si="6"/>
        <v>26782</v>
      </c>
      <c r="J44" s="24">
        <f t="shared" si="6"/>
        <v>35140</v>
      </c>
      <c r="K44" s="24">
        <f t="shared" si="6"/>
        <v>34802</v>
      </c>
      <c r="L44" s="24">
        <f t="shared" si="6"/>
        <v>31476</v>
      </c>
      <c r="M44" s="24">
        <f t="shared" si="6"/>
        <v>21495</v>
      </c>
      <c r="N44" s="24">
        <f t="shared" si="6"/>
        <v>31133</v>
      </c>
      <c r="O44" s="24">
        <f t="shared" si="6"/>
        <v>25602</v>
      </c>
      <c r="P44" s="68">
        <f t="shared" si="0"/>
        <v>326261</v>
      </c>
      <c r="R44" s="80"/>
    </row>
    <row r="45" spans="1:18" s="2" customFormat="1" ht="26.45" customHeight="1" x14ac:dyDescent="0.15">
      <c r="A45" s="235" t="s">
        <v>161</v>
      </c>
      <c r="B45" s="236"/>
      <c r="C45" s="237"/>
      <c r="D45" s="26">
        <f t="shared" ref="D45:O45" si="7">SUM(D19,D44)</f>
        <v>77734</v>
      </c>
      <c r="E45" s="26">
        <f t="shared" si="7"/>
        <v>84263</v>
      </c>
      <c r="F45" s="26">
        <f t="shared" si="7"/>
        <v>99314</v>
      </c>
      <c r="G45" s="26">
        <f t="shared" si="7"/>
        <v>113722</v>
      </c>
      <c r="H45" s="26">
        <f t="shared" si="7"/>
        <v>108461</v>
      </c>
      <c r="I45" s="26">
        <f t="shared" si="7"/>
        <v>96100</v>
      </c>
      <c r="J45" s="26">
        <f t="shared" si="7"/>
        <v>103600</v>
      </c>
      <c r="K45" s="26">
        <f t="shared" si="7"/>
        <v>103264</v>
      </c>
      <c r="L45" s="26">
        <f t="shared" si="7"/>
        <v>109562</v>
      </c>
      <c r="M45" s="26">
        <f t="shared" si="7"/>
        <v>77570</v>
      </c>
      <c r="N45" s="26">
        <f t="shared" si="7"/>
        <v>105023</v>
      </c>
      <c r="O45" s="26">
        <f t="shared" si="7"/>
        <v>100275</v>
      </c>
      <c r="P45" s="73">
        <f t="shared" si="0"/>
        <v>1178888</v>
      </c>
      <c r="R45" s="80"/>
    </row>
    <row r="46" spans="1:18" ht="19.5" customHeight="1" x14ac:dyDescent="0.15">
      <c r="A46" s="218" t="s">
        <v>160</v>
      </c>
      <c r="B46" s="219"/>
      <c r="C46" s="217"/>
      <c r="D46" s="89">
        <v>21555</v>
      </c>
      <c r="E46" s="89">
        <f>14709+19194</f>
        <v>33903</v>
      </c>
      <c r="F46" s="89">
        <f>26165+15224</f>
        <v>41389</v>
      </c>
      <c r="G46" s="91">
        <f>25434+14000</f>
        <v>39434</v>
      </c>
      <c r="H46" s="89">
        <f>12717+21787</f>
        <v>34504</v>
      </c>
      <c r="I46" s="89">
        <f>17884+19941</f>
        <v>37825</v>
      </c>
      <c r="J46" s="122">
        <f>15446+24266</f>
        <v>39712</v>
      </c>
      <c r="K46" s="122">
        <f>28092+11388</f>
        <v>39480</v>
      </c>
      <c r="L46" s="131">
        <f>23779+9902</f>
        <v>33681</v>
      </c>
      <c r="M46" s="89">
        <f>11378+16741</f>
        <v>28119</v>
      </c>
      <c r="N46" s="144">
        <f>26460+11514</f>
        <v>37974</v>
      </c>
      <c r="O46" s="158">
        <f>23949+16035</f>
        <v>39984</v>
      </c>
      <c r="P46" s="67">
        <f t="shared" si="0"/>
        <v>427560</v>
      </c>
      <c r="R46" s="80"/>
    </row>
    <row r="47" spans="1:18" ht="20.100000000000001" customHeight="1" x14ac:dyDescent="0.15">
      <c r="A47" s="218" t="s">
        <v>159</v>
      </c>
      <c r="B47" s="219"/>
      <c r="C47" s="217"/>
      <c r="D47" s="90">
        <v>323</v>
      </c>
      <c r="E47" s="89">
        <f>113+434</f>
        <v>547</v>
      </c>
      <c r="F47" s="89">
        <f>492+328</f>
        <v>820</v>
      </c>
      <c r="G47" s="91">
        <f>448+985</f>
        <v>1433</v>
      </c>
      <c r="H47" s="90">
        <f>843+317</f>
        <v>1160</v>
      </c>
      <c r="I47" s="90">
        <f>457+148</f>
        <v>605</v>
      </c>
      <c r="J47" s="123">
        <f>223+436</f>
        <v>659</v>
      </c>
      <c r="K47" s="123">
        <f>445+504</f>
        <v>949</v>
      </c>
      <c r="L47" s="132">
        <f>378+55</f>
        <v>433</v>
      </c>
      <c r="M47" s="90">
        <f>85+382</f>
        <v>467</v>
      </c>
      <c r="N47" s="145">
        <f>320+142</f>
        <v>462</v>
      </c>
      <c r="O47" s="159">
        <f>1769+11</f>
        <v>1780</v>
      </c>
      <c r="P47" s="75">
        <f t="shared" si="0"/>
        <v>9638</v>
      </c>
      <c r="R47" s="80"/>
    </row>
    <row r="48" spans="1:18" s="2" customFormat="1" ht="27.75" customHeight="1" thickBot="1" x14ac:dyDescent="0.2">
      <c r="A48" s="232" t="s">
        <v>97</v>
      </c>
      <c r="B48" s="233"/>
      <c r="C48" s="234"/>
      <c r="D48" s="76">
        <f t="shared" ref="D48:O48" si="8">D45+D46+D47</f>
        <v>99612</v>
      </c>
      <c r="E48" s="76">
        <f t="shared" si="8"/>
        <v>118713</v>
      </c>
      <c r="F48" s="76">
        <f t="shared" si="8"/>
        <v>141523</v>
      </c>
      <c r="G48" s="76">
        <f t="shared" si="8"/>
        <v>154589</v>
      </c>
      <c r="H48" s="76">
        <f t="shared" si="8"/>
        <v>144125</v>
      </c>
      <c r="I48" s="76">
        <f t="shared" si="8"/>
        <v>134530</v>
      </c>
      <c r="J48" s="76">
        <f t="shared" si="8"/>
        <v>143971</v>
      </c>
      <c r="K48" s="76">
        <f t="shared" si="8"/>
        <v>143693</v>
      </c>
      <c r="L48" s="76">
        <f t="shared" si="8"/>
        <v>143676</v>
      </c>
      <c r="M48" s="76">
        <f t="shared" si="8"/>
        <v>106156</v>
      </c>
      <c r="N48" s="76">
        <f t="shared" si="8"/>
        <v>143459</v>
      </c>
      <c r="O48" s="76">
        <f t="shared" si="8"/>
        <v>142039</v>
      </c>
      <c r="P48" s="77">
        <f t="shared" si="0"/>
        <v>1616086</v>
      </c>
      <c r="R48" s="80"/>
    </row>
    <row r="49" spans="4:12" ht="20.100000000000001" customHeight="1" x14ac:dyDescent="0.15"/>
    <row r="50" spans="4:12" x14ac:dyDescent="0.15">
      <c r="L50" s="29"/>
    </row>
    <row r="51" spans="4:12" x14ac:dyDescent="0.15">
      <c r="F51" s="29"/>
    </row>
    <row r="54" spans="4:12" x14ac:dyDescent="0.15">
      <c r="D54" s="29"/>
      <c r="E54" s="29"/>
    </row>
    <row r="55" spans="4:12" x14ac:dyDescent="0.15">
      <c r="D55" s="29"/>
    </row>
    <row r="56" spans="4:12" x14ac:dyDescent="0.15">
      <c r="D56" s="29"/>
    </row>
    <row r="57" spans="4:12" x14ac:dyDescent="0.15">
      <c r="D57" s="29"/>
    </row>
  </sheetData>
  <mergeCells count="17">
    <mergeCell ref="A1:P1"/>
    <mergeCell ref="A2:C2"/>
    <mergeCell ref="A3:A19"/>
    <mergeCell ref="B3:B9"/>
    <mergeCell ref="B10:B16"/>
    <mergeCell ref="B17:C17"/>
    <mergeCell ref="B18:C18"/>
    <mergeCell ref="B19:C19"/>
    <mergeCell ref="A46:C46"/>
    <mergeCell ref="A47:C47"/>
    <mergeCell ref="A48:C48"/>
    <mergeCell ref="A20:A44"/>
    <mergeCell ref="B20:B37"/>
    <mergeCell ref="B38:B42"/>
    <mergeCell ref="B43:C43"/>
    <mergeCell ref="B44:C44"/>
    <mergeCell ref="A45:C45"/>
  </mergeCells>
  <phoneticPr fontId="14" type="noConversion"/>
  <pageMargins left="1.3385826771653544" right="0.51181102362204722" top="0.70866141732283472" bottom="0.35433070866141736" header="0.11811023622047245" footer="0.11811023622047245"/>
  <pageSetup paperSize="9" scale="50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pageSetUpPr fitToPage="1"/>
  </sheetPr>
  <dimension ref="A1:R57"/>
  <sheetViews>
    <sheetView tabSelected="1" zoomScale="80" zoomScaleNormal="80" workbookViewId="0">
      <pane xSplit="3" ySplit="2" topLeftCell="D29" activePane="bottomRight" state="frozen"/>
      <selection pane="topRight" activeCell="D1" sqref="D1"/>
      <selection pane="bottomLeft" activeCell="A3" sqref="A3"/>
      <selection pane="bottomRight" activeCell="I51" sqref="I51"/>
    </sheetView>
  </sheetViews>
  <sheetFormatPr defaultRowHeight="13.5" x14ac:dyDescent="0.15"/>
  <cols>
    <col min="1" max="1" width="5.21875" customWidth="1"/>
    <col min="2" max="2" width="5.44140625" customWidth="1"/>
    <col min="3" max="3" width="11.44140625" customWidth="1"/>
    <col min="4" max="13" width="13.5546875" customWidth="1"/>
    <col min="14" max="14" width="13.5546875" style="65" customWidth="1"/>
    <col min="15" max="15" width="13.5546875" customWidth="1"/>
    <col min="16" max="16" width="14.6640625" style="2" customWidth="1"/>
    <col min="18" max="18" width="9.88671875" bestFit="1" customWidth="1"/>
  </cols>
  <sheetData>
    <row r="1" spans="1:18" ht="51" customHeight="1" thickBot="1" x14ac:dyDescent="0.2">
      <c r="A1" s="223" t="s">
        <v>228</v>
      </c>
      <c r="B1" s="223"/>
      <c r="C1" s="223"/>
      <c r="D1" s="223"/>
      <c r="E1" s="223"/>
      <c r="F1" s="223"/>
      <c r="G1" s="223"/>
      <c r="H1" s="223"/>
      <c r="I1" s="223"/>
      <c r="J1" s="223"/>
      <c r="K1" s="223"/>
      <c r="L1" s="223"/>
      <c r="M1" s="223"/>
      <c r="N1" s="223"/>
      <c r="O1" s="223"/>
      <c r="P1" s="223"/>
    </row>
    <row r="2" spans="1:18" ht="25.5" customHeight="1" x14ac:dyDescent="0.15">
      <c r="A2" s="224" t="s">
        <v>176</v>
      </c>
      <c r="B2" s="225"/>
      <c r="C2" s="226"/>
      <c r="D2" s="147" t="s">
        <v>57</v>
      </c>
      <c r="E2" s="147" t="s">
        <v>58</v>
      </c>
      <c r="F2" s="147" t="s">
        <v>2</v>
      </c>
      <c r="G2" s="147" t="s">
        <v>3</v>
      </c>
      <c r="H2" s="147" t="s">
        <v>4</v>
      </c>
      <c r="I2" s="147" t="s">
        <v>5</v>
      </c>
      <c r="J2" s="147" t="s">
        <v>6</v>
      </c>
      <c r="K2" s="147" t="s">
        <v>7</v>
      </c>
      <c r="L2" s="147" t="s">
        <v>8</v>
      </c>
      <c r="M2" s="147" t="s">
        <v>9</v>
      </c>
      <c r="N2" s="147" t="s">
        <v>10</v>
      </c>
      <c r="O2" s="147" t="s">
        <v>11</v>
      </c>
      <c r="P2" s="9" t="s">
        <v>173</v>
      </c>
    </row>
    <row r="3" spans="1:18" ht="19.899999999999999" customHeight="1" x14ac:dyDescent="0.15">
      <c r="A3" s="227" t="s">
        <v>14</v>
      </c>
      <c r="B3" s="211" t="s">
        <v>171</v>
      </c>
      <c r="C3" s="146" t="s">
        <v>16</v>
      </c>
      <c r="D3" s="160">
        <f>290+64365</f>
        <v>64655</v>
      </c>
      <c r="E3" s="144">
        <v>43476</v>
      </c>
      <c r="F3" s="167">
        <f>64598+2619</f>
        <v>67217</v>
      </c>
      <c r="G3" s="174">
        <f>64365+3</f>
        <v>64368</v>
      </c>
      <c r="H3" s="194">
        <f>56974+1</f>
        <v>56975</v>
      </c>
      <c r="I3" s="194">
        <v>67146</v>
      </c>
      <c r="J3" s="144"/>
      <c r="K3" s="144"/>
      <c r="L3" s="144"/>
      <c r="M3" s="144"/>
      <c r="N3" s="144"/>
      <c r="O3" s="158"/>
      <c r="P3" s="67">
        <f t="shared" ref="P3:P48" si="0">SUM(D3:O3)</f>
        <v>363837</v>
      </c>
      <c r="R3" s="80"/>
    </row>
    <row r="4" spans="1:18" ht="19.899999999999999" customHeight="1" x14ac:dyDescent="0.15">
      <c r="A4" s="228"/>
      <c r="B4" s="212"/>
      <c r="C4" s="146" t="s">
        <v>121</v>
      </c>
      <c r="D4" s="160">
        <f>4072+4918+347</f>
        <v>9337</v>
      </c>
      <c r="E4" s="144">
        <f>1167+2640+1963</f>
        <v>5770</v>
      </c>
      <c r="F4" s="167">
        <f>5015+957+2149</f>
        <v>8121</v>
      </c>
      <c r="G4" s="174">
        <f>4202+1311+347</f>
        <v>5860</v>
      </c>
      <c r="H4" s="194">
        <f>1529+3693
+1734</f>
        <v>6956</v>
      </c>
      <c r="I4" s="194">
        <f>5860+1258+380</f>
        <v>7498</v>
      </c>
      <c r="J4" s="144"/>
      <c r="K4" s="144"/>
      <c r="L4" s="144"/>
      <c r="M4" s="144"/>
      <c r="N4" s="144"/>
      <c r="O4" s="158"/>
      <c r="P4" s="67">
        <f t="shared" si="0"/>
        <v>43542</v>
      </c>
      <c r="R4" s="80"/>
    </row>
    <row r="5" spans="1:18" ht="19.899999999999999" customHeight="1" x14ac:dyDescent="0.15">
      <c r="A5" s="228"/>
      <c r="B5" s="212"/>
      <c r="C5" s="146" t="s">
        <v>170</v>
      </c>
      <c r="D5" s="160">
        <f>1669+1924</f>
        <v>3593</v>
      </c>
      <c r="E5" s="144">
        <f>1296+2512</f>
        <v>3808</v>
      </c>
      <c r="F5" s="167">
        <v>1166</v>
      </c>
      <c r="G5" s="174">
        <f>1378+1386</f>
        <v>2764</v>
      </c>
      <c r="H5" s="194">
        <f>1624+961</f>
        <v>2585</v>
      </c>
      <c r="I5" s="194">
        <f>1604+1160</f>
        <v>2764</v>
      </c>
      <c r="J5" s="144"/>
      <c r="K5" s="144"/>
      <c r="L5" s="144"/>
      <c r="M5" s="144"/>
      <c r="N5" s="144"/>
      <c r="O5" s="158"/>
      <c r="P5" s="67">
        <f t="shared" si="0"/>
        <v>16680</v>
      </c>
      <c r="R5" s="80"/>
    </row>
    <row r="6" spans="1:18" ht="19.899999999999999" customHeight="1" x14ac:dyDescent="0.15">
      <c r="A6" s="228"/>
      <c r="B6" s="212"/>
      <c r="C6" s="146" t="s">
        <v>118</v>
      </c>
      <c r="D6" s="160">
        <v>0</v>
      </c>
      <c r="E6" s="144"/>
      <c r="F6" s="167">
        <v>0</v>
      </c>
      <c r="G6" s="174">
        <v>0</v>
      </c>
      <c r="H6" s="184">
        <v>0</v>
      </c>
      <c r="I6" s="194">
        <v>0</v>
      </c>
      <c r="J6" s="144"/>
      <c r="K6" s="144"/>
      <c r="L6" s="144"/>
      <c r="M6" s="144"/>
      <c r="N6" s="144"/>
      <c r="O6" s="158"/>
      <c r="P6" s="67">
        <f t="shared" si="0"/>
        <v>0</v>
      </c>
      <c r="R6" s="80"/>
    </row>
    <row r="7" spans="1:18" ht="19.899999999999999" customHeight="1" x14ac:dyDescent="0.15">
      <c r="A7" s="228"/>
      <c r="B7" s="212"/>
      <c r="C7" s="146" t="s">
        <v>119</v>
      </c>
      <c r="D7" s="160">
        <v>0</v>
      </c>
      <c r="E7" s="144"/>
      <c r="F7" s="167">
        <v>2</v>
      </c>
      <c r="G7" s="174">
        <v>0</v>
      </c>
      <c r="H7" s="184">
        <v>0</v>
      </c>
      <c r="I7" s="194">
        <v>4</v>
      </c>
      <c r="J7" s="144"/>
      <c r="K7" s="144"/>
      <c r="L7" s="144"/>
      <c r="M7" s="144"/>
      <c r="N7" s="144"/>
      <c r="O7" s="158"/>
      <c r="P7" s="67">
        <f t="shared" si="0"/>
        <v>6</v>
      </c>
      <c r="R7" s="80"/>
    </row>
    <row r="8" spans="1:18" ht="19.899999999999999" customHeight="1" x14ac:dyDescent="0.15">
      <c r="A8" s="228"/>
      <c r="B8" s="212"/>
      <c r="C8" s="146" t="s">
        <v>19</v>
      </c>
      <c r="D8" s="160">
        <v>107</v>
      </c>
      <c r="E8" s="144">
        <f>13+77</f>
        <v>90</v>
      </c>
      <c r="F8" s="91">
        <v>187</v>
      </c>
      <c r="G8" s="174">
        <f>94+2</f>
        <v>96</v>
      </c>
      <c r="H8" s="184">
        <f xml:space="preserve"> 165
+2</f>
        <v>167</v>
      </c>
      <c r="I8" s="194">
        <v>1331</v>
      </c>
      <c r="J8" s="110"/>
      <c r="K8" s="144"/>
      <c r="L8" s="144"/>
      <c r="M8" s="144"/>
      <c r="N8" s="144"/>
      <c r="O8" s="158"/>
      <c r="P8" s="67">
        <f t="shared" si="0"/>
        <v>1978</v>
      </c>
      <c r="R8" s="80"/>
    </row>
    <row r="9" spans="1:18" ht="19.899999999999999" customHeight="1" x14ac:dyDescent="0.15">
      <c r="A9" s="228"/>
      <c r="B9" s="213"/>
      <c r="C9" s="3" t="s">
        <v>67</v>
      </c>
      <c r="D9" s="23">
        <f t="shared" ref="D9:O9" si="1">SUM(D3:D8)</f>
        <v>77692</v>
      </c>
      <c r="E9" s="23">
        <f t="shared" si="1"/>
        <v>53144</v>
      </c>
      <c r="F9" s="23">
        <f t="shared" si="1"/>
        <v>76693</v>
      </c>
      <c r="G9" s="23">
        <f t="shared" si="1"/>
        <v>73088</v>
      </c>
      <c r="H9" s="23">
        <f t="shared" si="1"/>
        <v>66683</v>
      </c>
      <c r="I9" s="23">
        <f t="shared" si="1"/>
        <v>78743</v>
      </c>
      <c r="J9" s="23">
        <f t="shared" si="1"/>
        <v>0</v>
      </c>
      <c r="K9" s="23">
        <f t="shared" si="1"/>
        <v>0</v>
      </c>
      <c r="L9" s="23">
        <f t="shared" si="1"/>
        <v>0</v>
      </c>
      <c r="M9" s="23">
        <f t="shared" si="1"/>
        <v>0</v>
      </c>
      <c r="N9" s="23">
        <f t="shared" si="1"/>
        <v>0</v>
      </c>
      <c r="O9" s="23">
        <f t="shared" si="1"/>
        <v>0</v>
      </c>
      <c r="P9" s="67">
        <f t="shared" si="0"/>
        <v>426043</v>
      </c>
      <c r="R9" s="80"/>
    </row>
    <row r="10" spans="1:18" ht="19.899999999999999" customHeight="1" x14ac:dyDescent="0.15">
      <c r="A10" s="228"/>
      <c r="B10" s="211" t="s">
        <v>123</v>
      </c>
      <c r="C10" s="15" t="s">
        <v>120</v>
      </c>
      <c r="D10" s="161">
        <f>251+42</f>
        <v>293</v>
      </c>
      <c r="E10" s="144">
        <f>120+112</f>
        <v>232</v>
      </c>
      <c r="F10" s="168">
        <f>54+174</f>
        <v>228</v>
      </c>
      <c r="G10" s="175">
        <f>239+155</f>
        <v>394</v>
      </c>
      <c r="H10" s="185">
        <f>74+22</f>
        <v>96</v>
      </c>
      <c r="I10" s="195">
        <v>93</v>
      </c>
      <c r="J10" s="138"/>
      <c r="K10" s="138"/>
      <c r="L10" s="138"/>
      <c r="M10" s="138"/>
      <c r="N10" s="138"/>
      <c r="O10" s="152"/>
      <c r="P10" s="67">
        <f t="shared" si="0"/>
        <v>1336</v>
      </c>
      <c r="R10" s="80"/>
    </row>
    <row r="11" spans="1:18" ht="19.899999999999999" customHeight="1" x14ac:dyDescent="0.15">
      <c r="A11" s="228"/>
      <c r="B11" s="212"/>
      <c r="C11" s="15" t="s">
        <v>121</v>
      </c>
      <c r="D11" s="161">
        <v>22</v>
      </c>
      <c r="E11" s="144">
        <f>7+20</f>
        <v>27</v>
      </c>
      <c r="F11" s="144">
        <v>17</v>
      </c>
      <c r="G11" s="91">
        <v>28</v>
      </c>
      <c r="H11" s="195">
        <v>18</v>
      </c>
      <c r="I11" s="195">
        <f>33+10</f>
        <v>43</v>
      </c>
      <c r="J11" s="138"/>
      <c r="K11" s="138"/>
      <c r="L11" s="138"/>
      <c r="M11" s="138"/>
      <c r="N11" s="138"/>
      <c r="O11" s="152"/>
      <c r="P11" s="67">
        <f t="shared" si="0"/>
        <v>155</v>
      </c>
      <c r="R11" s="80"/>
    </row>
    <row r="12" spans="1:18" ht="19.899999999999999" customHeight="1" x14ac:dyDescent="0.15">
      <c r="A12" s="228"/>
      <c r="B12" s="212"/>
      <c r="C12" s="15" t="s">
        <v>132</v>
      </c>
      <c r="D12" s="161">
        <f>3+44</f>
        <v>47</v>
      </c>
      <c r="E12" s="144"/>
      <c r="F12" s="144"/>
      <c r="G12" s="91"/>
      <c r="H12" s="185">
        <v>0</v>
      </c>
      <c r="I12" s="195">
        <v>0</v>
      </c>
      <c r="J12" s="138"/>
      <c r="K12" s="138"/>
      <c r="L12" s="138"/>
      <c r="M12" s="138"/>
      <c r="N12" s="138"/>
      <c r="O12" s="152"/>
      <c r="P12" s="67">
        <f t="shared" si="0"/>
        <v>47</v>
      </c>
      <c r="R12" s="80"/>
    </row>
    <row r="13" spans="1:18" ht="19.899999999999999" customHeight="1" x14ac:dyDescent="0.15">
      <c r="A13" s="228"/>
      <c r="B13" s="212"/>
      <c r="C13" s="15" t="s">
        <v>138</v>
      </c>
      <c r="D13" s="161">
        <v>159</v>
      </c>
      <c r="E13" s="182">
        <v>81</v>
      </c>
      <c r="F13" s="182">
        <v>51</v>
      </c>
      <c r="G13" s="183">
        <v>21</v>
      </c>
      <c r="H13" s="185">
        <v>17</v>
      </c>
      <c r="I13" s="195">
        <v>0</v>
      </c>
      <c r="J13" s="109"/>
      <c r="K13" s="138"/>
      <c r="L13" s="138"/>
      <c r="M13" s="138"/>
      <c r="N13" s="138"/>
      <c r="O13" s="152"/>
      <c r="P13" s="67">
        <f t="shared" si="0"/>
        <v>329</v>
      </c>
      <c r="R13" s="80"/>
    </row>
    <row r="14" spans="1:18" ht="19.899999999999999" customHeight="1" x14ac:dyDescent="0.15">
      <c r="A14" s="228"/>
      <c r="B14" s="212"/>
      <c r="C14" s="15" t="s">
        <v>137</v>
      </c>
      <c r="D14" s="161">
        <f>1+33</f>
        <v>34</v>
      </c>
      <c r="E14" s="144">
        <f>1+11</f>
        <v>12</v>
      </c>
      <c r="F14" s="144">
        <v>6</v>
      </c>
      <c r="G14" s="91">
        <v>20</v>
      </c>
      <c r="H14" s="185">
        <f xml:space="preserve"> 1
+2</f>
        <v>3</v>
      </c>
      <c r="I14" s="195">
        <f>9+1</f>
        <v>10</v>
      </c>
      <c r="J14" s="138"/>
      <c r="K14" s="138"/>
      <c r="L14" s="138"/>
      <c r="M14" s="138"/>
      <c r="N14" s="138"/>
      <c r="O14" s="152"/>
      <c r="P14" s="67">
        <f t="shared" si="0"/>
        <v>85</v>
      </c>
      <c r="R14" s="80"/>
    </row>
    <row r="15" spans="1:18" ht="19.899999999999999" customHeight="1" x14ac:dyDescent="0.15">
      <c r="A15" s="228"/>
      <c r="B15" s="212"/>
      <c r="C15" s="15" t="s">
        <v>19</v>
      </c>
      <c r="D15" s="161">
        <f>2</f>
        <v>2</v>
      </c>
      <c r="E15" s="144"/>
      <c r="F15" s="144"/>
      <c r="G15" s="91"/>
      <c r="H15" s="185">
        <v>0</v>
      </c>
      <c r="I15" s="195">
        <v>32</v>
      </c>
      <c r="J15" s="138"/>
      <c r="K15" s="138"/>
      <c r="L15" s="138"/>
      <c r="M15" s="138"/>
      <c r="N15" s="138"/>
      <c r="O15" s="152"/>
      <c r="P15" s="67">
        <f t="shared" si="0"/>
        <v>34</v>
      </c>
      <c r="R15" s="80"/>
    </row>
    <row r="16" spans="1:18" ht="19.899999999999999" customHeight="1" x14ac:dyDescent="0.15">
      <c r="A16" s="228"/>
      <c r="B16" s="213"/>
      <c r="C16" s="3" t="s">
        <v>67</v>
      </c>
      <c r="D16" s="23">
        <f t="shared" ref="D16:O16" si="2">SUM(D10:D15)</f>
        <v>557</v>
      </c>
      <c r="E16" s="23">
        <f t="shared" si="2"/>
        <v>352</v>
      </c>
      <c r="F16" s="23">
        <f t="shared" si="2"/>
        <v>302</v>
      </c>
      <c r="G16" s="23">
        <f t="shared" si="2"/>
        <v>463</v>
      </c>
      <c r="H16" s="23">
        <f t="shared" si="2"/>
        <v>134</v>
      </c>
      <c r="I16" s="23">
        <f t="shared" si="2"/>
        <v>178</v>
      </c>
      <c r="J16" s="23">
        <f t="shared" si="2"/>
        <v>0</v>
      </c>
      <c r="K16" s="23">
        <f t="shared" si="2"/>
        <v>0</v>
      </c>
      <c r="L16" s="23">
        <f t="shared" si="2"/>
        <v>0</v>
      </c>
      <c r="M16" s="23">
        <f t="shared" si="2"/>
        <v>0</v>
      </c>
      <c r="N16" s="23">
        <f t="shared" si="2"/>
        <v>0</v>
      </c>
      <c r="O16" s="23">
        <f t="shared" si="2"/>
        <v>0</v>
      </c>
      <c r="P16" s="67">
        <f t="shared" si="0"/>
        <v>1986</v>
      </c>
      <c r="R16" s="80"/>
    </row>
    <row r="17" spans="1:18" ht="19.5" customHeight="1" x14ac:dyDescent="0.15">
      <c r="A17" s="228"/>
      <c r="B17" s="214" t="s">
        <v>20</v>
      </c>
      <c r="C17" s="215"/>
      <c r="D17" s="162">
        <f>6+1015</f>
        <v>1021</v>
      </c>
      <c r="E17" s="144">
        <f>332+468</f>
        <v>800</v>
      </c>
      <c r="F17" s="169">
        <f>282+1</f>
        <v>283</v>
      </c>
      <c r="G17" s="176">
        <f>95+8</f>
        <v>103</v>
      </c>
      <c r="H17" s="187">
        <f>70+24</f>
        <v>94</v>
      </c>
      <c r="I17" s="195">
        <f>165+13</f>
        <v>178</v>
      </c>
      <c r="J17" s="138"/>
      <c r="K17" s="138"/>
      <c r="L17" s="138"/>
      <c r="M17" s="138"/>
      <c r="N17" s="138"/>
      <c r="O17" s="152"/>
      <c r="P17" s="67">
        <f t="shared" si="0"/>
        <v>2479</v>
      </c>
      <c r="R17" s="80"/>
    </row>
    <row r="18" spans="1:18" ht="19.899999999999999" customHeight="1" x14ac:dyDescent="0.15">
      <c r="A18" s="228"/>
      <c r="B18" s="216" t="s">
        <v>127</v>
      </c>
      <c r="C18" s="217"/>
      <c r="D18" s="162">
        <f>13+2</f>
        <v>15</v>
      </c>
      <c r="E18" s="144">
        <f>3+29</f>
        <v>32</v>
      </c>
      <c r="F18" s="169">
        <v>11</v>
      </c>
      <c r="G18" s="91">
        <v>91</v>
      </c>
      <c r="H18" s="186">
        <f>16+16</f>
        <v>32</v>
      </c>
      <c r="I18" s="194">
        <f>37+3</f>
        <v>40</v>
      </c>
      <c r="J18" s="144"/>
      <c r="K18" s="144"/>
      <c r="L18" s="144"/>
      <c r="M18" s="144"/>
      <c r="N18" s="144"/>
      <c r="O18" s="158"/>
      <c r="P18" s="67">
        <f t="shared" si="0"/>
        <v>221</v>
      </c>
      <c r="R18" s="80"/>
    </row>
    <row r="19" spans="1:18" ht="26.45" customHeight="1" x14ac:dyDescent="0.15">
      <c r="A19" s="229"/>
      <c r="B19" s="230" t="s">
        <v>39</v>
      </c>
      <c r="C19" s="231"/>
      <c r="D19" s="24">
        <f t="shared" ref="D19:O19" si="3">D9+D18+D16+D17</f>
        <v>79285</v>
      </c>
      <c r="E19" s="24">
        <f t="shared" si="3"/>
        <v>54328</v>
      </c>
      <c r="F19" s="24">
        <f t="shared" si="3"/>
        <v>77289</v>
      </c>
      <c r="G19" s="24">
        <f t="shared" si="3"/>
        <v>73745</v>
      </c>
      <c r="H19" s="24">
        <f t="shared" si="3"/>
        <v>66943</v>
      </c>
      <c r="I19" s="24">
        <f>I9+I18+I16+I17</f>
        <v>79139</v>
      </c>
      <c r="J19" s="24">
        <f t="shared" si="3"/>
        <v>0</v>
      </c>
      <c r="K19" s="24">
        <f t="shared" si="3"/>
        <v>0</v>
      </c>
      <c r="L19" s="24">
        <f t="shared" si="3"/>
        <v>0</v>
      </c>
      <c r="M19" s="24">
        <f t="shared" si="3"/>
        <v>0</v>
      </c>
      <c r="N19" s="24">
        <f t="shared" si="3"/>
        <v>0</v>
      </c>
      <c r="O19" s="24">
        <f t="shared" si="3"/>
        <v>0</v>
      </c>
      <c r="P19" s="68">
        <f t="shared" si="0"/>
        <v>430729</v>
      </c>
      <c r="R19" s="80">
        <f>SUM(D19:M19)</f>
        <v>430729</v>
      </c>
    </row>
    <row r="20" spans="1:18" ht="19.5" customHeight="1" x14ac:dyDescent="0.15">
      <c r="A20" s="227" t="s">
        <v>21</v>
      </c>
      <c r="B20" s="211" t="s">
        <v>167</v>
      </c>
      <c r="C20" s="146" t="s">
        <v>74</v>
      </c>
      <c r="D20" s="163">
        <f>701+2823</f>
        <v>3524</v>
      </c>
      <c r="E20" s="144">
        <f>4866+123</f>
        <v>4989</v>
      </c>
      <c r="F20" s="170">
        <f>2794+3679</f>
        <v>6473</v>
      </c>
      <c r="G20" s="179">
        <f>1174+5056</f>
        <v>6230</v>
      </c>
      <c r="H20" s="188">
        <f>3665+7549</f>
        <v>11214</v>
      </c>
      <c r="I20" s="194">
        <f>2619+4556</f>
        <v>7175</v>
      </c>
      <c r="J20" s="144"/>
      <c r="K20" s="144"/>
      <c r="L20" s="144"/>
      <c r="M20" s="144"/>
      <c r="N20" s="144"/>
      <c r="O20" s="158"/>
      <c r="P20" s="67">
        <f t="shared" si="0"/>
        <v>39605</v>
      </c>
      <c r="R20" s="80"/>
    </row>
    <row r="21" spans="1:18" ht="20.100000000000001" customHeight="1" x14ac:dyDescent="0.15">
      <c r="A21" s="228"/>
      <c r="B21" s="212"/>
      <c r="C21" s="146" t="s">
        <v>75</v>
      </c>
      <c r="D21" s="163">
        <f>89+3744</f>
        <v>3833</v>
      </c>
      <c r="E21" s="144">
        <f>71+4904</f>
        <v>4975</v>
      </c>
      <c r="F21" s="170">
        <f>2244+250</f>
        <v>2494</v>
      </c>
      <c r="G21" s="179">
        <f>6127+96</f>
        <v>6223</v>
      </c>
      <c r="H21" s="188">
        <v>7017</v>
      </c>
      <c r="I21" s="194">
        <v>6414</v>
      </c>
      <c r="J21" s="144"/>
      <c r="K21" s="144"/>
      <c r="L21" s="144"/>
      <c r="M21" s="144"/>
      <c r="N21" s="144"/>
      <c r="O21" s="158"/>
      <c r="P21" s="67">
        <f t="shared" si="0"/>
        <v>30956</v>
      </c>
      <c r="R21" s="80"/>
    </row>
    <row r="22" spans="1:18" ht="20.100000000000001" customHeight="1" x14ac:dyDescent="0.15">
      <c r="A22" s="228"/>
      <c r="B22" s="212"/>
      <c r="C22" s="146" t="s">
        <v>72</v>
      </c>
      <c r="D22" s="163">
        <v>478</v>
      </c>
      <c r="E22" s="144">
        <v>1904</v>
      </c>
      <c r="F22" s="170">
        <v>692</v>
      </c>
      <c r="G22" s="179">
        <v>1201</v>
      </c>
      <c r="H22" s="188">
        <v>3056</v>
      </c>
      <c r="I22" s="194">
        <f>101+2150</f>
        <v>2251</v>
      </c>
      <c r="J22" s="144"/>
      <c r="K22" s="144"/>
      <c r="L22" s="144"/>
      <c r="M22" s="144"/>
      <c r="N22" s="144"/>
      <c r="O22" s="158"/>
      <c r="P22" s="67">
        <f t="shared" si="0"/>
        <v>9582</v>
      </c>
      <c r="R22" s="80"/>
    </row>
    <row r="23" spans="1:18" ht="20.100000000000001" customHeight="1" x14ac:dyDescent="0.15">
      <c r="A23" s="228"/>
      <c r="B23" s="212"/>
      <c r="C23" s="146" t="s">
        <v>24</v>
      </c>
      <c r="D23" s="163">
        <v>0</v>
      </c>
      <c r="E23" s="144">
        <v>279</v>
      </c>
      <c r="F23" s="170">
        <v>67</v>
      </c>
      <c r="G23" s="179">
        <v>1335</v>
      </c>
      <c r="H23" s="188">
        <f>295+1673</f>
        <v>1968</v>
      </c>
      <c r="I23" s="194">
        <v>911</v>
      </c>
      <c r="J23" s="144"/>
      <c r="K23" s="144"/>
      <c r="L23" s="144"/>
      <c r="M23" s="144"/>
      <c r="N23" s="144"/>
      <c r="O23" s="158"/>
      <c r="P23" s="67">
        <f t="shared" si="0"/>
        <v>4560</v>
      </c>
      <c r="R23" s="80"/>
    </row>
    <row r="24" spans="1:18" ht="20.100000000000001" customHeight="1" x14ac:dyDescent="0.15">
      <c r="A24" s="228"/>
      <c r="B24" s="212"/>
      <c r="C24" s="146" t="s">
        <v>77</v>
      </c>
      <c r="D24" s="163">
        <v>4</v>
      </c>
      <c r="E24" s="144">
        <f>2+10</f>
        <v>12</v>
      </c>
      <c r="F24" s="170">
        <f>10+37</f>
        <v>47</v>
      </c>
      <c r="G24" s="179">
        <f>4+38</f>
        <v>42</v>
      </c>
      <c r="H24" s="188">
        <f>14+7</f>
        <v>21</v>
      </c>
      <c r="I24" s="194">
        <f>21+14</f>
        <v>35</v>
      </c>
      <c r="J24" s="144"/>
      <c r="K24" s="144"/>
      <c r="L24" s="144"/>
      <c r="M24" s="144"/>
      <c r="N24" s="144"/>
      <c r="O24" s="158"/>
      <c r="P24" s="67">
        <f t="shared" si="0"/>
        <v>161</v>
      </c>
      <c r="R24" s="80"/>
    </row>
    <row r="25" spans="1:18" ht="20.100000000000001" customHeight="1" x14ac:dyDescent="0.15">
      <c r="A25" s="228"/>
      <c r="B25" s="212"/>
      <c r="C25" s="146" t="s">
        <v>29</v>
      </c>
      <c r="D25" s="163">
        <v>0</v>
      </c>
      <c r="E25" s="144"/>
      <c r="F25" s="170">
        <v>0</v>
      </c>
      <c r="G25" s="177">
        <v>0</v>
      </c>
      <c r="H25" s="188">
        <v>0</v>
      </c>
      <c r="I25" s="194">
        <v>0</v>
      </c>
      <c r="J25" s="144"/>
      <c r="K25" s="144"/>
      <c r="L25" s="144"/>
      <c r="M25" s="144"/>
      <c r="N25" s="144"/>
      <c r="O25" s="158"/>
      <c r="P25" s="67">
        <f t="shared" si="0"/>
        <v>0</v>
      </c>
      <c r="R25" s="80"/>
    </row>
    <row r="26" spans="1:18" ht="20.100000000000001" customHeight="1" x14ac:dyDescent="0.15">
      <c r="A26" s="228"/>
      <c r="B26" s="212"/>
      <c r="C26" s="146" t="s">
        <v>30</v>
      </c>
      <c r="D26" s="163">
        <v>61</v>
      </c>
      <c r="E26" s="144">
        <v>1186</v>
      </c>
      <c r="F26" s="170">
        <v>486</v>
      </c>
      <c r="G26" s="179">
        <v>541</v>
      </c>
      <c r="H26" s="188">
        <v>558</v>
      </c>
      <c r="I26" s="194">
        <v>609</v>
      </c>
      <c r="J26" s="144"/>
      <c r="K26" s="144"/>
      <c r="L26" s="144"/>
      <c r="M26" s="144"/>
      <c r="N26" s="144"/>
      <c r="O26" s="158"/>
      <c r="P26" s="67">
        <f t="shared" si="0"/>
        <v>3441</v>
      </c>
      <c r="R26" s="80"/>
    </row>
    <row r="27" spans="1:18" ht="20.100000000000001" customHeight="1" x14ac:dyDescent="0.15">
      <c r="A27" s="228"/>
      <c r="B27" s="212"/>
      <c r="C27" s="146" t="s">
        <v>34</v>
      </c>
      <c r="D27" s="163">
        <v>0</v>
      </c>
      <c r="E27" s="144"/>
      <c r="F27" s="170">
        <v>0</v>
      </c>
      <c r="G27" s="177">
        <v>0</v>
      </c>
      <c r="H27" s="188">
        <v>0</v>
      </c>
      <c r="I27" s="194">
        <v>0</v>
      </c>
      <c r="J27" s="144"/>
      <c r="K27" s="144"/>
      <c r="L27" s="140"/>
      <c r="M27" s="140"/>
      <c r="N27" s="140"/>
      <c r="O27" s="154"/>
      <c r="P27" s="67">
        <f t="shared" si="0"/>
        <v>0</v>
      </c>
      <c r="R27" s="80"/>
    </row>
    <row r="28" spans="1:18" ht="20.100000000000001" customHeight="1" x14ac:dyDescent="0.15">
      <c r="A28" s="228"/>
      <c r="B28" s="212"/>
      <c r="C28" s="146" t="s">
        <v>33</v>
      </c>
      <c r="D28" s="163">
        <v>0</v>
      </c>
      <c r="E28" s="144">
        <v>904</v>
      </c>
      <c r="F28" s="170">
        <v>469</v>
      </c>
      <c r="G28" s="179">
        <v>649</v>
      </c>
      <c r="H28" s="188">
        <v>933</v>
      </c>
      <c r="I28" s="194">
        <v>807</v>
      </c>
      <c r="J28" s="144"/>
      <c r="K28" s="141"/>
      <c r="L28" s="144"/>
      <c r="M28" s="144"/>
      <c r="N28" s="144"/>
      <c r="O28" s="158"/>
      <c r="P28" s="67">
        <f t="shared" si="0"/>
        <v>3762</v>
      </c>
      <c r="R28" s="80"/>
    </row>
    <row r="29" spans="1:18" ht="20.100000000000001" customHeight="1" x14ac:dyDescent="0.15">
      <c r="A29" s="228"/>
      <c r="B29" s="212"/>
      <c r="C29" s="146" t="s">
        <v>31</v>
      </c>
      <c r="D29" s="163">
        <v>1148</v>
      </c>
      <c r="E29" s="144">
        <v>1410</v>
      </c>
      <c r="F29" s="170">
        <v>1639</v>
      </c>
      <c r="G29" s="177">
        <v>1316</v>
      </c>
      <c r="H29" s="188">
        <v>1361</v>
      </c>
      <c r="I29" s="194">
        <v>2491</v>
      </c>
      <c r="J29" s="144"/>
      <c r="K29" s="144"/>
      <c r="L29" s="144"/>
      <c r="M29" s="144"/>
      <c r="N29" s="144"/>
      <c r="O29" s="158"/>
      <c r="P29" s="67">
        <f t="shared" si="0"/>
        <v>9365</v>
      </c>
      <c r="R29" s="80"/>
    </row>
    <row r="30" spans="1:18" ht="20.100000000000001" customHeight="1" x14ac:dyDescent="0.15">
      <c r="A30" s="228"/>
      <c r="B30" s="212"/>
      <c r="C30" s="146" t="s">
        <v>110</v>
      </c>
      <c r="D30" s="163">
        <v>756</v>
      </c>
      <c r="E30" s="144">
        <v>1677</v>
      </c>
      <c r="F30" s="170">
        <v>1513</v>
      </c>
      <c r="G30" s="177">
        <v>2407</v>
      </c>
      <c r="H30" s="188">
        <v>1593</v>
      </c>
      <c r="I30" s="194">
        <v>2195</v>
      </c>
      <c r="J30" s="144"/>
      <c r="K30" s="144"/>
      <c r="L30" s="144"/>
      <c r="M30" s="144"/>
      <c r="N30" s="144"/>
      <c r="O30" s="158"/>
      <c r="P30" s="67">
        <f t="shared" si="0"/>
        <v>10141</v>
      </c>
      <c r="R30" s="80"/>
    </row>
    <row r="31" spans="1:18" ht="20.100000000000001" customHeight="1" x14ac:dyDescent="0.15">
      <c r="A31" s="228"/>
      <c r="B31" s="212"/>
      <c r="C31" s="146" t="s">
        <v>27</v>
      </c>
      <c r="D31" s="163">
        <v>0</v>
      </c>
      <c r="E31" s="144"/>
      <c r="F31" s="170">
        <v>0</v>
      </c>
      <c r="G31" s="177">
        <v>0</v>
      </c>
      <c r="H31" s="188">
        <v>0</v>
      </c>
      <c r="I31" s="194">
        <v>0</v>
      </c>
      <c r="J31" s="144"/>
      <c r="K31" s="144"/>
      <c r="L31" s="144"/>
      <c r="M31" s="144"/>
      <c r="N31" s="144"/>
      <c r="O31" s="158"/>
      <c r="P31" s="67">
        <f t="shared" si="0"/>
        <v>0</v>
      </c>
      <c r="R31" s="80"/>
    </row>
    <row r="32" spans="1:18" ht="20.100000000000001" customHeight="1" x14ac:dyDescent="0.15">
      <c r="A32" s="228"/>
      <c r="B32" s="212"/>
      <c r="C32" s="146" t="s">
        <v>32</v>
      </c>
      <c r="D32" s="163">
        <v>0</v>
      </c>
      <c r="E32" s="144"/>
      <c r="F32" s="170">
        <v>0</v>
      </c>
      <c r="G32" s="177">
        <v>0</v>
      </c>
      <c r="H32" s="188">
        <v>0</v>
      </c>
      <c r="I32" s="194">
        <v>0</v>
      </c>
      <c r="J32" s="144"/>
      <c r="K32" s="144"/>
      <c r="L32" s="144"/>
      <c r="M32" s="144"/>
      <c r="N32" s="144"/>
      <c r="O32" s="158"/>
      <c r="P32" s="67">
        <f t="shared" si="0"/>
        <v>0</v>
      </c>
      <c r="R32" s="80"/>
    </row>
    <row r="33" spans="1:18" ht="20.100000000000001" customHeight="1" x14ac:dyDescent="0.15">
      <c r="A33" s="228"/>
      <c r="B33" s="212"/>
      <c r="C33" s="146" t="s">
        <v>50</v>
      </c>
      <c r="D33" s="163">
        <v>85</v>
      </c>
      <c r="E33" s="144"/>
      <c r="F33" s="170">
        <v>289</v>
      </c>
      <c r="G33" s="179">
        <v>55</v>
      </c>
      <c r="H33" s="188">
        <v>2</v>
      </c>
      <c r="I33" s="194">
        <v>13</v>
      </c>
      <c r="J33" s="144"/>
      <c r="K33" s="144"/>
      <c r="L33" s="144"/>
      <c r="M33" s="144"/>
      <c r="N33" s="144"/>
      <c r="O33" s="158"/>
      <c r="P33" s="67">
        <f t="shared" si="0"/>
        <v>444</v>
      </c>
      <c r="R33" s="80"/>
    </row>
    <row r="34" spans="1:18" ht="20.100000000000001" customHeight="1" x14ac:dyDescent="0.15">
      <c r="A34" s="228"/>
      <c r="B34" s="212"/>
      <c r="C34" s="146" t="s">
        <v>98</v>
      </c>
      <c r="D34" s="163">
        <v>22</v>
      </c>
      <c r="E34" s="144">
        <v>45</v>
      </c>
      <c r="F34" s="170">
        <v>120</v>
      </c>
      <c r="G34" s="179">
        <v>182</v>
      </c>
      <c r="H34" s="188">
        <v>73</v>
      </c>
      <c r="I34" s="194">
        <v>10</v>
      </c>
      <c r="J34" s="144"/>
      <c r="K34" s="144"/>
      <c r="L34" s="144"/>
      <c r="M34" s="144"/>
      <c r="N34" s="144"/>
      <c r="O34" s="158"/>
      <c r="P34" s="67">
        <f t="shared" si="0"/>
        <v>452</v>
      </c>
      <c r="R34" s="80"/>
    </row>
    <row r="35" spans="1:18" ht="20.100000000000001" customHeight="1" x14ac:dyDescent="0.15">
      <c r="A35" s="228"/>
      <c r="B35" s="212"/>
      <c r="C35" s="146" t="s">
        <v>166</v>
      </c>
      <c r="D35" s="163">
        <v>0</v>
      </c>
      <c r="E35" s="144"/>
      <c r="F35" s="170">
        <v>0</v>
      </c>
      <c r="G35" s="179">
        <v>0</v>
      </c>
      <c r="H35" s="189">
        <v>0</v>
      </c>
      <c r="I35" s="70">
        <v>0</v>
      </c>
      <c r="J35" s="144"/>
      <c r="K35" s="71"/>
      <c r="L35" s="144"/>
      <c r="M35" s="141"/>
      <c r="N35" s="141"/>
      <c r="O35" s="155"/>
      <c r="P35" s="67">
        <f t="shared" si="0"/>
        <v>0</v>
      </c>
      <c r="R35" s="80"/>
    </row>
    <row r="36" spans="1:18" ht="20.100000000000001" customHeight="1" x14ac:dyDescent="0.15">
      <c r="A36" s="228"/>
      <c r="B36" s="212"/>
      <c r="C36" s="146" t="s">
        <v>19</v>
      </c>
      <c r="D36" s="163">
        <f>7184+320</f>
        <v>7504</v>
      </c>
      <c r="E36" s="144">
        <f>12486+982</f>
        <v>13468</v>
      </c>
      <c r="F36" s="170">
        <f>564+14027</f>
        <v>14591</v>
      </c>
      <c r="G36" s="179">
        <f>519+17577</f>
        <v>18096</v>
      </c>
      <c r="H36" s="190">
        <f>57+15975</f>
        <v>16032</v>
      </c>
      <c r="I36" s="194">
        <f>2906+12235</f>
        <v>15141</v>
      </c>
      <c r="J36" s="144"/>
      <c r="K36" s="144"/>
      <c r="L36" s="144"/>
      <c r="M36" s="144"/>
      <c r="N36" s="144"/>
      <c r="O36" s="158"/>
      <c r="P36" s="67">
        <f t="shared" si="0"/>
        <v>84832</v>
      </c>
      <c r="R36" s="80"/>
    </row>
    <row r="37" spans="1:18" ht="20.100000000000001" customHeight="1" x14ac:dyDescent="0.15">
      <c r="A37" s="228"/>
      <c r="B37" s="213"/>
      <c r="C37" s="19" t="s">
        <v>163</v>
      </c>
      <c r="D37" s="25">
        <f t="shared" ref="D37:O37" si="4">SUM(D20:D36)</f>
        <v>17415</v>
      </c>
      <c r="E37" s="25">
        <f t="shared" si="4"/>
        <v>30849</v>
      </c>
      <c r="F37" s="25">
        <f t="shared" si="4"/>
        <v>28880</v>
      </c>
      <c r="G37" s="25">
        <f t="shared" si="4"/>
        <v>38277</v>
      </c>
      <c r="H37" s="25">
        <f t="shared" si="4"/>
        <v>43828</v>
      </c>
      <c r="I37" s="25">
        <f t="shared" si="4"/>
        <v>38052</v>
      </c>
      <c r="J37" s="25">
        <f t="shared" si="4"/>
        <v>0</v>
      </c>
      <c r="K37" s="25">
        <f t="shared" si="4"/>
        <v>0</v>
      </c>
      <c r="L37" s="25">
        <f t="shared" si="4"/>
        <v>0</v>
      </c>
      <c r="M37" s="25">
        <f t="shared" si="4"/>
        <v>0</v>
      </c>
      <c r="N37" s="25">
        <f t="shared" si="4"/>
        <v>0</v>
      </c>
      <c r="O37" s="25">
        <f t="shared" si="4"/>
        <v>0</v>
      </c>
      <c r="P37" s="67">
        <f t="shared" si="0"/>
        <v>197301</v>
      </c>
      <c r="R37" s="80"/>
    </row>
    <row r="38" spans="1:18" ht="20.100000000000001" customHeight="1" x14ac:dyDescent="0.15">
      <c r="A38" s="228"/>
      <c r="B38" s="211" t="s">
        <v>124</v>
      </c>
      <c r="C38" s="146" t="s">
        <v>165</v>
      </c>
      <c r="D38" s="164">
        <v>83</v>
      </c>
      <c r="E38" s="144">
        <v>21</v>
      </c>
      <c r="F38" s="171">
        <v>97</v>
      </c>
      <c r="G38" s="180">
        <v>72</v>
      </c>
      <c r="H38" s="192">
        <v>64</v>
      </c>
      <c r="I38" s="194">
        <v>97</v>
      </c>
      <c r="J38" s="141"/>
      <c r="K38" s="144"/>
      <c r="L38" s="144"/>
      <c r="M38" s="144"/>
      <c r="N38" s="144"/>
      <c r="O38" s="158"/>
      <c r="P38" s="67">
        <f t="shared" si="0"/>
        <v>434</v>
      </c>
      <c r="R38" s="80"/>
    </row>
    <row r="39" spans="1:18" ht="20.100000000000001" customHeight="1" x14ac:dyDescent="0.15">
      <c r="A39" s="228"/>
      <c r="B39" s="212"/>
      <c r="C39" s="146" t="s">
        <v>46</v>
      </c>
      <c r="D39" s="164">
        <v>13</v>
      </c>
      <c r="E39" s="144">
        <v>87</v>
      </c>
      <c r="F39" s="171">
        <v>42</v>
      </c>
      <c r="G39" s="180">
        <v>0</v>
      </c>
      <c r="H39" s="191">
        <v>16</v>
      </c>
      <c r="I39" s="194">
        <v>128</v>
      </c>
      <c r="J39" s="144"/>
      <c r="K39" s="144"/>
      <c r="L39" s="144"/>
      <c r="M39" s="144"/>
      <c r="N39" s="144"/>
      <c r="O39" s="158"/>
      <c r="P39" s="67">
        <f t="shared" si="0"/>
        <v>286</v>
      </c>
      <c r="R39" s="80"/>
    </row>
    <row r="40" spans="1:18" ht="20.100000000000001" customHeight="1" x14ac:dyDescent="0.15">
      <c r="A40" s="228"/>
      <c r="B40" s="212"/>
      <c r="C40" s="146" t="s">
        <v>164</v>
      </c>
      <c r="D40" s="164">
        <v>157</v>
      </c>
      <c r="E40" s="144">
        <v>162</v>
      </c>
      <c r="F40" s="171">
        <v>111</v>
      </c>
      <c r="G40" s="180">
        <v>159</v>
      </c>
      <c r="H40" s="191">
        <v>66</v>
      </c>
      <c r="I40" s="194">
        <v>130</v>
      </c>
      <c r="J40" s="144"/>
      <c r="K40" s="144"/>
      <c r="L40" s="144"/>
      <c r="M40" s="144"/>
      <c r="N40" s="144"/>
      <c r="O40" s="158"/>
      <c r="P40" s="67">
        <f t="shared" si="0"/>
        <v>785</v>
      </c>
      <c r="R40" s="80"/>
    </row>
    <row r="41" spans="1:18" ht="20.100000000000001" customHeight="1" x14ac:dyDescent="0.15">
      <c r="A41" s="228"/>
      <c r="B41" s="212"/>
      <c r="C41" s="146" t="s">
        <v>19</v>
      </c>
      <c r="D41" s="164">
        <f>53+57</f>
        <v>110</v>
      </c>
      <c r="E41" s="144">
        <f>62+51</f>
        <v>113</v>
      </c>
      <c r="F41" s="171">
        <f>66+42</f>
        <v>108</v>
      </c>
      <c r="G41" s="180">
        <f>45+23</f>
        <v>68</v>
      </c>
      <c r="H41" s="191">
        <f>44+27</f>
        <v>71</v>
      </c>
      <c r="I41" s="194">
        <f>109+50</f>
        <v>159</v>
      </c>
      <c r="J41" s="144"/>
      <c r="K41" s="144"/>
      <c r="L41" s="144"/>
      <c r="M41" s="144"/>
      <c r="N41" s="144"/>
      <c r="O41" s="158"/>
      <c r="P41" s="67">
        <f t="shared" si="0"/>
        <v>629</v>
      </c>
      <c r="R41" s="80"/>
    </row>
    <row r="42" spans="1:18" ht="20.100000000000001" customHeight="1" x14ac:dyDescent="0.15">
      <c r="A42" s="228"/>
      <c r="B42" s="213"/>
      <c r="C42" s="19" t="s">
        <v>163</v>
      </c>
      <c r="D42" s="25">
        <f t="shared" ref="D42:O42" si="5">SUM(D38:D41)</f>
        <v>363</v>
      </c>
      <c r="E42" s="25">
        <f t="shared" si="5"/>
        <v>383</v>
      </c>
      <c r="F42" s="25">
        <f t="shared" si="5"/>
        <v>358</v>
      </c>
      <c r="G42" s="178">
        <f t="shared" si="5"/>
        <v>299</v>
      </c>
      <c r="H42" s="25">
        <f t="shared" si="5"/>
        <v>217</v>
      </c>
      <c r="I42" s="25">
        <f t="shared" si="5"/>
        <v>514</v>
      </c>
      <c r="J42" s="25">
        <f t="shared" si="5"/>
        <v>0</v>
      </c>
      <c r="K42" s="25">
        <f t="shared" si="5"/>
        <v>0</v>
      </c>
      <c r="L42" s="25">
        <f t="shared" si="5"/>
        <v>0</v>
      </c>
      <c r="M42" s="25">
        <f t="shared" si="5"/>
        <v>0</v>
      </c>
      <c r="N42" s="25">
        <f t="shared" si="5"/>
        <v>0</v>
      </c>
      <c r="O42" s="25">
        <f t="shared" si="5"/>
        <v>0</v>
      </c>
      <c r="P42" s="67">
        <f t="shared" si="0"/>
        <v>2134</v>
      </c>
      <c r="R42" s="80"/>
    </row>
    <row r="43" spans="1:18" ht="20.100000000000001" customHeight="1" x14ac:dyDescent="0.15">
      <c r="A43" s="228"/>
      <c r="B43" s="216" t="s">
        <v>127</v>
      </c>
      <c r="C43" s="217"/>
      <c r="D43" s="165">
        <f>6+145</f>
        <v>151</v>
      </c>
      <c r="E43" s="144">
        <f>88+177</f>
        <v>265</v>
      </c>
      <c r="F43" s="172">
        <f>156+56</f>
        <v>212</v>
      </c>
      <c r="G43" s="181">
        <f>91+88</f>
        <v>179</v>
      </c>
      <c r="H43" s="193">
        <f>199+105</f>
        <v>304</v>
      </c>
      <c r="I43" s="194">
        <f>140+87</f>
        <v>227</v>
      </c>
      <c r="J43" s="144"/>
      <c r="K43" s="144"/>
      <c r="L43" s="144"/>
      <c r="M43" s="144"/>
      <c r="N43" s="144"/>
      <c r="O43" s="158"/>
      <c r="P43" s="67">
        <f t="shared" si="0"/>
        <v>1338</v>
      </c>
      <c r="R43" s="80"/>
    </row>
    <row r="44" spans="1:18" ht="24.75" customHeight="1" x14ac:dyDescent="0.15">
      <c r="A44" s="229"/>
      <c r="B44" s="230" t="s">
        <v>40</v>
      </c>
      <c r="C44" s="231"/>
      <c r="D44" s="24">
        <f t="shared" ref="D44:O44" si="6">D37+D42+D43</f>
        <v>17929</v>
      </c>
      <c r="E44" s="24">
        <f t="shared" si="6"/>
        <v>31497</v>
      </c>
      <c r="F44" s="24">
        <f t="shared" si="6"/>
        <v>29450</v>
      </c>
      <c r="G44" s="24">
        <f t="shared" si="6"/>
        <v>38755</v>
      </c>
      <c r="H44" s="24">
        <f t="shared" si="6"/>
        <v>44349</v>
      </c>
      <c r="I44" s="24">
        <f t="shared" si="6"/>
        <v>38793</v>
      </c>
      <c r="J44" s="24">
        <f t="shared" si="6"/>
        <v>0</v>
      </c>
      <c r="K44" s="24">
        <f t="shared" si="6"/>
        <v>0</v>
      </c>
      <c r="L44" s="24">
        <f t="shared" si="6"/>
        <v>0</v>
      </c>
      <c r="M44" s="24">
        <f t="shared" si="6"/>
        <v>0</v>
      </c>
      <c r="N44" s="24">
        <f t="shared" si="6"/>
        <v>0</v>
      </c>
      <c r="O44" s="24">
        <f t="shared" si="6"/>
        <v>0</v>
      </c>
      <c r="P44" s="68">
        <f t="shared" si="0"/>
        <v>200773</v>
      </c>
      <c r="R44" s="80"/>
    </row>
    <row r="45" spans="1:18" s="2" customFormat="1" ht="26.45" customHeight="1" x14ac:dyDescent="0.15">
      <c r="A45" s="235" t="s">
        <v>41</v>
      </c>
      <c r="B45" s="236"/>
      <c r="C45" s="237"/>
      <c r="D45" s="26">
        <f t="shared" ref="D45:O45" si="7">SUM(D19,D44)</f>
        <v>97214</v>
      </c>
      <c r="E45" s="26">
        <f t="shared" si="7"/>
        <v>85825</v>
      </c>
      <c r="F45" s="26">
        <f t="shared" si="7"/>
        <v>106739</v>
      </c>
      <c r="G45" s="26">
        <f t="shared" si="7"/>
        <v>112500</v>
      </c>
      <c r="H45" s="26">
        <f t="shared" si="7"/>
        <v>111292</v>
      </c>
      <c r="I45" s="26">
        <f t="shared" si="7"/>
        <v>117932</v>
      </c>
      <c r="J45" s="26">
        <f t="shared" si="7"/>
        <v>0</v>
      </c>
      <c r="K45" s="26">
        <f t="shared" si="7"/>
        <v>0</v>
      </c>
      <c r="L45" s="26">
        <f t="shared" si="7"/>
        <v>0</v>
      </c>
      <c r="M45" s="26">
        <f t="shared" si="7"/>
        <v>0</v>
      </c>
      <c r="N45" s="26">
        <f t="shared" si="7"/>
        <v>0</v>
      </c>
      <c r="O45" s="26">
        <f t="shared" si="7"/>
        <v>0</v>
      </c>
      <c r="P45" s="73">
        <f t="shared" si="0"/>
        <v>631502</v>
      </c>
      <c r="R45" s="80"/>
    </row>
    <row r="46" spans="1:18" ht="19.5" customHeight="1" x14ac:dyDescent="0.15">
      <c r="A46" s="218" t="s">
        <v>43</v>
      </c>
      <c r="B46" s="219"/>
      <c r="C46" s="217"/>
      <c r="D46" s="166">
        <f>16507+22103</f>
        <v>38610</v>
      </c>
      <c r="E46" s="144">
        <f>9112+16480</f>
        <v>25592</v>
      </c>
      <c r="F46" s="173">
        <f>30565+11264</f>
        <v>41829</v>
      </c>
      <c r="G46" s="183">
        <f>18676+5823</f>
        <v>24499</v>
      </c>
      <c r="H46" s="194">
        <f>24371+7035</f>
        <v>31406</v>
      </c>
      <c r="I46" s="194">
        <f>24342+11091</f>
        <v>35433</v>
      </c>
      <c r="J46" s="144"/>
      <c r="K46" s="144"/>
      <c r="L46" s="144"/>
      <c r="M46" s="144"/>
      <c r="N46" s="144"/>
      <c r="O46" s="158"/>
      <c r="P46" s="67">
        <f t="shared" si="0"/>
        <v>197369</v>
      </c>
      <c r="R46" s="80"/>
    </row>
    <row r="47" spans="1:18" ht="20.100000000000001" customHeight="1" x14ac:dyDescent="0.15">
      <c r="A47" s="218" t="s">
        <v>159</v>
      </c>
      <c r="B47" s="219"/>
      <c r="C47" s="217"/>
      <c r="D47" s="166">
        <f>575+918</f>
        <v>1493</v>
      </c>
      <c r="E47" s="144">
        <f>23+846</f>
        <v>869</v>
      </c>
      <c r="F47" s="173">
        <f>1034+118</f>
        <v>1152</v>
      </c>
      <c r="G47" s="183">
        <f>1597+451</f>
        <v>2048</v>
      </c>
      <c r="H47" s="196">
        <f>1625+418</f>
        <v>2043</v>
      </c>
      <c r="I47" s="196">
        <f>495+920</f>
        <v>1415</v>
      </c>
      <c r="J47" s="145"/>
      <c r="K47" s="145"/>
      <c r="L47" s="145"/>
      <c r="M47" s="145"/>
      <c r="N47" s="145"/>
      <c r="O47" s="159"/>
      <c r="P47" s="75">
        <f t="shared" si="0"/>
        <v>9020</v>
      </c>
      <c r="R47" s="80"/>
    </row>
    <row r="48" spans="1:18" s="2" customFormat="1" ht="27.75" customHeight="1" thickBot="1" x14ac:dyDescent="0.2">
      <c r="A48" s="232" t="s">
        <v>42</v>
      </c>
      <c r="B48" s="233"/>
      <c r="C48" s="234"/>
      <c r="D48" s="76">
        <f t="shared" ref="D48:O48" si="8">D45+D46+D47</f>
        <v>137317</v>
      </c>
      <c r="E48" s="76">
        <f t="shared" si="8"/>
        <v>112286</v>
      </c>
      <c r="F48" s="76">
        <f t="shared" si="8"/>
        <v>149720</v>
      </c>
      <c r="G48" s="76">
        <f t="shared" si="8"/>
        <v>139047</v>
      </c>
      <c r="H48" s="76">
        <f t="shared" si="8"/>
        <v>144741</v>
      </c>
      <c r="I48" s="76">
        <f t="shared" si="8"/>
        <v>154780</v>
      </c>
      <c r="J48" s="76">
        <f t="shared" si="8"/>
        <v>0</v>
      </c>
      <c r="K48" s="76">
        <f t="shared" si="8"/>
        <v>0</v>
      </c>
      <c r="L48" s="76">
        <f t="shared" si="8"/>
        <v>0</v>
      </c>
      <c r="M48" s="76">
        <f t="shared" si="8"/>
        <v>0</v>
      </c>
      <c r="N48" s="76">
        <f t="shared" si="8"/>
        <v>0</v>
      </c>
      <c r="O48" s="76">
        <f t="shared" si="8"/>
        <v>0</v>
      </c>
      <c r="P48" s="77">
        <f t="shared" si="0"/>
        <v>837891</v>
      </c>
      <c r="R48" s="80"/>
    </row>
    <row r="49" spans="4:12" ht="20.100000000000001" customHeight="1" x14ac:dyDescent="0.15"/>
    <row r="50" spans="4:12" x14ac:dyDescent="0.15">
      <c r="E50">
        <f>34075+34772</f>
        <v>68847</v>
      </c>
      <c r="F50">
        <f>66747+47582+35391</f>
        <v>149720</v>
      </c>
      <c r="G50">
        <f>38355+35980+64712</f>
        <v>139047</v>
      </c>
      <c r="H50">
        <f>40189+46049+58503</f>
        <v>144741</v>
      </c>
      <c r="I50">
        <f>51224+68404+35152</f>
        <v>154780</v>
      </c>
      <c r="L50" s="29"/>
    </row>
    <row r="51" spans="4:12" x14ac:dyDescent="0.15">
      <c r="F51" s="29"/>
    </row>
    <row r="54" spans="4:12" x14ac:dyDescent="0.15">
      <c r="D54" s="29"/>
      <c r="E54" s="29"/>
    </row>
    <row r="55" spans="4:12" x14ac:dyDescent="0.15">
      <c r="D55" s="29"/>
    </row>
    <row r="56" spans="4:12" x14ac:dyDescent="0.15">
      <c r="D56" s="29"/>
    </row>
    <row r="57" spans="4:12" x14ac:dyDescent="0.15">
      <c r="D57" s="29"/>
    </row>
  </sheetData>
  <mergeCells count="17">
    <mergeCell ref="A46:C46"/>
    <mergeCell ref="A47:C47"/>
    <mergeCell ref="A48:C48"/>
    <mergeCell ref="A20:A44"/>
    <mergeCell ref="B20:B37"/>
    <mergeCell ref="B38:B42"/>
    <mergeCell ref="B43:C43"/>
    <mergeCell ref="B44:C44"/>
    <mergeCell ref="A45:C45"/>
    <mergeCell ref="A1:P1"/>
    <mergeCell ref="A2:C2"/>
    <mergeCell ref="A3:A19"/>
    <mergeCell ref="B3:B9"/>
    <mergeCell ref="B10:B16"/>
    <mergeCell ref="B17:C17"/>
    <mergeCell ref="B18:C18"/>
    <mergeCell ref="B19:C19"/>
  </mergeCells>
  <phoneticPr fontId="14" type="noConversion"/>
  <pageMargins left="1.3385826771653544" right="0.51181102362204722" top="0.70866141732283472" bottom="0.35433070866141736" header="0.11811023622047245" footer="0.11811023622047245"/>
  <pageSetup paperSize="9" scale="50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"/>
  <sheetViews>
    <sheetView workbookViewId="0"/>
  </sheetViews>
  <sheetFormatPr defaultRowHeight="13.5" x14ac:dyDescent="0.15"/>
  <sheetData/>
  <phoneticPr fontId="1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21</vt:i4>
      </vt:variant>
      <vt:variant>
        <vt:lpstr>이름 지정된 범위</vt:lpstr>
      </vt:variant>
      <vt:variant>
        <vt:i4>16</vt:i4>
      </vt:variant>
    </vt:vector>
  </HeadingPairs>
  <TitlesOfParts>
    <vt:vector size="37" baseType="lpstr">
      <vt:lpstr>2009</vt:lpstr>
      <vt:lpstr>2010</vt:lpstr>
      <vt:lpstr>2011</vt:lpstr>
      <vt:lpstr>2012</vt:lpstr>
      <vt:lpstr>2013</vt:lpstr>
      <vt:lpstr>2014</vt:lpstr>
      <vt:lpstr>2015</vt:lpstr>
      <vt:lpstr>2016</vt:lpstr>
      <vt:lpstr>2017</vt:lpstr>
      <vt:lpstr>2018</vt:lpstr>
      <vt:lpstr>2019</vt:lpstr>
      <vt:lpstr>2020</vt:lpstr>
      <vt:lpstr>2021</vt:lpstr>
      <vt:lpstr>Sheet1</vt:lpstr>
      <vt:lpstr>2022</vt:lpstr>
      <vt:lpstr>2023</vt:lpstr>
      <vt:lpstr>2024</vt:lpstr>
      <vt:lpstr>2024 (2)</vt:lpstr>
      <vt:lpstr>2025</vt:lpstr>
      <vt:lpstr>2026</vt:lpstr>
      <vt:lpstr>Sheet2</vt:lpstr>
      <vt:lpstr>'2012'!Print_Area</vt:lpstr>
      <vt:lpstr>'2013'!Print_Area</vt:lpstr>
      <vt:lpstr>'2014'!Print_Area</vt:lpstr>
      <vt:lpstr>'2015'!Print_Area</vt:lpstr>
      <vt:lpstr>'2016'!Print_Area</vt:lpstr>
      <vt:lpstr>'2017'!Print_Area</vt:lpstr>
      <vt:lpstr>'2018'!Print_Area</vt:lpstr>
      <vt:lpstr>'2019'!Print_Area</vt:lpstr>
      <vt:lpstr>'2020'!Print_Area</vt:lpstr>
      <vt:lpstr>'2021'!Print_Area</vt:lpstr>
      <vt:lpstr>'2022'!Print_Area</vt:lpstr>
      <vt:lpstr>'2023'!Print_Area</vt:lpstr>
      <vt:lpstr>'2024'!Print_Area</vt:lpstr>
      <vt:lpstr>'2024 (2)'!Print_Area</vt:lpstr>
      <vt:lpstr>'2025'!Print_Area</vt:lpstr>
      <vt:lpstr>'2026'!Print_Area</vt:lpstr>
    </vt:vector>
  </TitlesOfParts>
  <Company>항만물류과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정은실</dc:creator>
  <cp:lastModifiedBy>MOF</cp:lastModifiedBy>
  <cp:lastPrinted>2023-11-01T04:03:38Z</cp:lastPrinted>
  <dcterms:created xsi:type="dcterms:W3CDTF">2009-02-09T01:45:50Z</dcterms:created>
  <dcterms:modified xsi:type="dcterms:W3CDTF">2026-07-30T01:33:10Z</dcterms:modified>
</cp:coreProperties>
</file>