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7월\"/>
    </mc:Choice>
  </mc:AlternateContent>
  <xr:revisionPtr revIDLastSave="0" documentId="13_ncr:1_{0684693F-2CB4-4C09-8728-A2236A55DD4D}" xr6:coauthVersionLast="47" xr6:coauthVersionMax="47" xr10:uidLastSave="{00000000-0000-0000-0000-000000000000}"/>
  <bookViews>
    <workbookView xWindow="4020" yWindow="1260" windowWidth="25695" windowHeight="13260" tabRatio="601" firstSheet="1" activeTab="1" xr2:uid="{00000000-000D-0000-FFFF-FFFF00000000}"/>
  </bookViews>
  <sheets>
    <sheet name="VXXX" sheetId="27" state="veryHidden" r:id="rId1"/>
    <sheet name="통계요약" sheetId="21" r:id="rId2"/>
    <sheet name="연도별 수송실적" sheetId="33" r:id="rId3"/>
    <sheet name="컨테이너 재게" sheetId="32" r:id="rId4"/>
  </sheets>
  <definedNames>
    <definedName name="_xlnm._FilterDatabase" localSheetId="3" hidden="1">'컨테이너 재게'!$B$7:$AI$39</definedName>
    <definedName name="_xlnm.Print_Area" localSheetId="2">'연도별 수송실적'!$B$1:$P$33</definedName>
    <definedName name="_xlnm.Print_Area" localSheetId="1">통계요약!$A$3:$M$30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8" i="21" l="1"/>
  <c r="I17" i="21"/>
  <c r="I15" i="21"/>
  <c r="I14" i="21"/>
  <c r="I13" i="21"/>
  <c r="H15" i="21"/>
  <c r="G25" i="21"/>
  <c r="G24" i="21"/>
  <c r="G23" i="21"/>
  <c r="I25" i="21"/>
  <c r="I24" i="21"/>
  <c r="I23" i="21"/>
  <c r="F37" i="32" l="1"/>
  <c r="F36" i="32"/>
  <c r="F35" i="32"/>
  <c r="F34" i="32"/>
  <c r="F33" i="32"/>
  <c r="F32" i="32"/>
  <c r="H23" i="32"/>
  <c r="H22" i="32"/>
  <c r="H21" i="32"/>
  <c r="H20" i="32"/>
  <c r="H19" i="32"/>
  <c r="H18" i="32"/>
  <c r="H37" i="32"/>
  <c r="H36" i="32"/>
  <c r="H35" i="32"/>
  <c r="H34" i="32"/>
  <c r="H33" i="32"/>
  <c r="H32" i="32"/>
  <c r="H12" i="32"/>
  <c r="H13" i="32"/>
  <c r="G18" i="21"/>
  <c r="G17" i="21"/>
  <c r="G15" i="21"/>
  <c r="F15" i="21"/>
  <c r="G14" i="21"/>
  <c r="G13" i="21"/>
  <c r="G10" i="21"/>
  <c r="F10" i="21"/>
  <c r="G9" i="21"/>
  <c r="F9" i="21"/>
  <c r="I9" i="21"/>
  <c r="H9" i="21"/>
  <c r="I10" i="21"/>
  <c r="H10" i="21"/>
  <c r="I29" i="21"/>
  <c r="G29" i="21"/>
  <c r="F11" i="32" l="1"/>
  <c r="F10" i="32"/>
  <c r="E15" i="21" l="1"/>
  <c r="E10" i="21"/>
  <c r="E9" i="21"/>
  <c r="J29" i="21"/>
  <c r="J24" i="21" l="1"/>
  <c r="J25" i="21"/>
  <c r="J23" i="21"/>
  <c r="L9" i="21"/>
  <c r="E7" i="32" l="1"/>
  <c r="I22" i="21" l="1"/>
  <c r="I8" i="21" l="1"/>
  <c r="H7" i="33" s="1"/>
  <c r="E12" i="21" l="1"/>
  <c r="L22" i="32"/>
  <c r="L28" i="32"/>
  <c r="E16" i="21"/>
  <c r="H9" i="32" l="1"/>
  <c r="J13" i="21"/>
  <c r="J14" i="21"/>
  <c r="J15" i="21"/>
  <c r="J18" i="21"/>
  <c r="J17" i="21"/>
  <c r="M29" i="21"/>
  <c r="I14" i="32" l="1"/>
  <c r="K30" i="32" l="1"/>
  <c r="I28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9" i="32"/>
  <c r="I30" i="32"/>
  <c r="I31" i="32"/>
  <c r="I32" i="32"/>
  <c r="I33" i="32"/>
  <c r="I34" i="32"/>
  <c r="I35" i="32"/>
  <c r="I36" i="32"/>
  <c r="I37" i="32"/>
  <c r="I13" i="32"/>
  <c r="G8" i="32"/>
  <c r="G9" i="32"/>
  <c r="J25" i="32" l="1"/>
  <c r="J24" i="32"/>
  <c r="D9" i="32"/>
  <c r="D8" i="32"/>
  <c r="E8" i="21"/>
  <c r="G7" i="33" s="1"/>
  <c r="F9" i="32" l="1"/>
  <c r="H12" i="21"/>
  <c r="F8" i="32" l="1"/>
  <c r="E9" i="32"/>
  <c r="E8" i="32"/>
  <c r="L11" i="32" l="1"/>
  <c r="L12" i="32"/>
  <c r="L13" i="32"/>
  <c r="L14" i="32"/>
  <c r="L15" i="32"/>
  <c r="L16" i="32"/>
  <c r="L17" i="32"/>
  <c r="L18" i="32"/>
  <c r="L19" i="32"/>
  <c r="L20" i="32"/>
  <c r="L21" i="32"/>
  <c r="L23" i="32"/>
  <c r="L24" i="32"/>
  <c r="L25" i="32"/>
  <c r="L26" i="32"/>
  <c r="L27" i="32"/>
  <c r="L29" i="32"/>
  <c r="L30" i="32"/>
  <c r="L31" i="32"/>
  <c r="L32" i="32"/>
  <c r="L33" i="32"/>
  <c r="L34" i="32"/>
  <c r="L35" i="32"/>
  <c r="L36" i="32"/>
  <c r="L37" i="32"/>
  <c r="L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1" i="32"/>
  <c r="K32" i="32"/>
  <c r="K33" i="32"/>
  <c r="K34" i="32"/>
  <c r="K35" i="32"/>
  <c r="K36" i="32"/>
  <c r="K37" i="32"/>
  <c r="K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10" i="32"/>
  <c r="I11" i="32"/>
  <c r="I12" i="32"/>
  <c r="I10" i="32"/>
  <c r="L18" i="21" l="1"/>
  <c r="L17" i="21"/>
  <c r="L13" i="21"/>
  <c r="AF15" i="32" l="1"/>
  <c r="AG15" i="32"/>
  <c r="AG14" i="32"/>
  <c r="AF14" i="32"/>
  <c r="AG13" i="32"/>
  <c r="AF13" i="32"/>
  <c r="AE15" i="32"/>
  <c r="AD15" i="32"/>
  <c r="AE14" i="32"/>
  <c r="AD14" i="32"/>
  <c r="AE13" i="32"/>
  <c r="AD13" i="32"/>
  <c r="AH15" i="32" l="1"/>
  <c r="AI15" i="32"/>
  <c r="AI14" i="32"/>
  <c r="AI13" i="32"/>
  <c r="AH14" i="32"/>
  <c r="AH13" i="32"/>
  <c r="I16" i="21" l="1"/>
  <c r="I12" i="21"/>
  <c r="H16" i="21"/>
  <c r="I11" i="21" l="1"/>
  <c r="P7" i="33" s="1"/>
  <c r="H11" i="21"/>
  <c r="F16" i="21"/>
  <c r="J16" i="21" s="1"/>
  <c r="F12" i="21"/>
  <c r="J12" i="21" s="1"/>
  <c r="G16" i="21"/>
  <c r="G12" i="21"/>
  <c r="F11" i="21" l="1"/>
  <c r="G11" i="21"/>
  <c r="H8" i="32" l="1"/>
  <c r="E11" i="21" l="1"/>
  <c r="O7" i="33" s="1"/>
  <c r="H22" i="21"/>
  <c r="G22" i="21" l="1"/>
  <c r="L12" i="21"/>
  <c r="G8" i="21" l="1"/>
  <c r="M8" i="21" l="1"/>
  <c r="H8" i="21"/>
  <c r="P9" i="33" l="1"/>
  <c r="H9" i="33"/>
  <c r="P6" i="33"/>
  <c r="H7" i="32" l="1"/>
  <c r="G7" i="32"/>
  <c r="F7" i="32"/>
  <c r="L29" i="21" l="1"/>
  <c r="K29" i="21"/>
  <c r="L27" i="21"/>
  <c r="L28" i="21"/>
  <c r="J27" i="21" l="1"/>
  <c r="J28" i="21"/>
  <c r="I26" i="21" l="1"/>
  <c r="E26" i="21" l="1"/>
  <c r="E22" i="21"/>
  <c r="E21" i="21" l="1"/>
  <c r="G10" i="33" s="1"/>
  <c r="F22" i="21" l="1"/>
  <c r="F8" i="21"/>
  <c r="F26" i="21" l="1"/>
  <c r="J26" i="21" s="1"/>
  <c r="G26" i="21"/>
  <c r="G21" i="21" s="1"/>
  <c r="L26" i="21" l="1"/>
  <c r="K15" i="21"/>
  <c r="M25" i="21" l="1"/>
  <c r="J9" i="21"/>
  <c r="K9" i="21"/>
  <c r="M9" i="21"/>
  <c r="J10" i="21"/>
  <c r="K10" i="21"/>
  <c r="L10" i="21"/>
  <c r="M10" i="21"/>
  <c r="K13" i="21"/>
  <c r="M13" i="21"/>
  <c r="K14" i="21"/>
  <c r="L14" i="21"/>
  <c r="M14" i="21"/>
  <c r="L15" i="21"/>
  <c r="M15" i="21"/>
  <c r="K17" i="21"/>
  <c r="M17" i="21"/>
  <c r="K18" i="21"/>
  <c r="M18" i="21"/>
  <c r="K23" i="21"/>
  <c r="L23" i="21"/>
  <c r="M23" i="21"/>
  <c r="K24" i="21"/>
  <c r="L24" i="21"/>
  <c r="M24" i="21"/>
  <c r="K25" i="21"/>
  <c r="L25" i="21"/>
  <c r="I21" i="21" l="1"/>
  <c r="H10" i="33" s="1"/>
  <c r="H21" i="21"/>
  <c r="L9" i="32"/>
  <c r="I8" i="32"/>
  <c r="M12" i="21"/>
  <c r="K16" i="21"/>
  <c r="K8" i="32"/>
  <c r="M22" i="21"/>
  <c r="K22" i="21"/>
  <c r="F21" i="21"/>
  <c r="L22" i="21"/>
  <c r="J22" i="21"/>
  <c r="L16" i="21"/>
  <c r="K12" i="21"/>
  <c r="M16" i="21"/>
  <c r="L8" i="21"/>
  <c r="J8" i="21"/>
  <c r="K8" i="21"/>
  <c r="J9" i="32"/>
  <c r="I9" i="32"/>
  <c r="L8" i="32"/>
  <c r="L21" i="21" l="1"/>
  <c r="J21" i="21"/>
  <c r="L11" i="21"/>
  <c r="K9" i="32"/>
  <c r="J8" i="32"/>
  <c r="M11" i="21"/>
  <c r="K21" i="21"/>
  <c r="M21" i="21"/>
  <c r="J11" i="21"/>
  <c r="K11" i="21"/>
</calcChain>
</file>

<file path=xl/sharedStrings.xml><?xml version="1.0" encoding="utf-8"?>
<sst xmlns="http://schemas.openxmlformats.org/spreadsheetml/2006/main" count="159" uniqueCount="111">
  <si>
    <t>소계</t>
  </si>
  <si>
    <t>외항</t>
  </si>
  <si>
    <t>연안</t>
  </si>
  <si>
    <t>입항</t>
  </si>
  <si>
    <t>출항</t>
  </si>
  <si>
    <t>수입</t>
  </si>
  <si>
    <t>수출</t>
  </si>
  <si>
    <t>구     분</t>
    <phoneticPr fontId="10" type="noConversion"/>
  </si>
  <si>
    <t xml:space="preserve"> 합  계</t>
    <phoneticPr fontId="10" type="noConversion"/>
  </si>
  <si>
    <t xml:space="preserve"> 외  항</t>
    <phoneticPr fontId="10" type="noConversion"/>
  </si>
  <si>
    <t xml:space="preserve"> 내  항</t>
    <phoneticPr fontId="10" type="noConversion"/>
  </si>
  <si>
    <t>연간누계</t>
    <phoneticPr fontId="10" type="noConversion"/>
  </si>
  <si>
    <t>계</t>
    <phoneticPr fontId="10" type="noConversion"/>
  </si>
  <si>
    <t>환적</t>
    <phoneticPr fontId="10" type="noConversion"/>
  </si>
  <si>
    <t>수출</t>
    <phoneticPr fontId="10" type="noConversion"/>
  </si>
  <si>
    <t>전년동기대비</t>
    <phoneticPr fontId="10" type="noConversion"/>
  </si>
  <si>
    <t>(%)</t>
    <phoneticPr fontId="10" type="noConversion"/>
  </si>
  <si>
    <t>환적</t>
    <phoneticPr fontId="10" type="noConversion"/>
  </si>
  <si>
    <t>D-B</t>
    <phoneticPr fontId="10" type="noConversion"/>
  </si>
  <si>
    <t>선박</t>
    <phoneticPr fontId="10" type="noConversion"/>
  </si>
  <si>
    <t>화물</t>
    <phoneticPr fontId="10" type="noConversion"/>
  </si>
  <si>
    <t>(단위:TEU, 100% 기준)</t>
    <phoneticPr fontId="10" type="noConversion"/>
  </si>
  <si>
    <t>컨테이너</t>
    <phoneticPr fontId="10" type="noConversion"/>
  </si>
  <si>
    <t>구     분</t>
    <phoneticPr fontId="10" type="noConversion"/>
  </si>
  <si>
    <t>단위</t>
    <phoneticPr fontId="22" type="noConversion"/>
  </si>
  <si>
    <t>전년동기대비</t>
    <phoneticPr fontId="10" type="noConversion"/>
  </si>
  <si>
    <t>연간누계</t>
    <phoneticPr fontId="10" type="noConversion"/>
  </si>
  <si>
    <t>C-A</t>
    <phoneticPr fontId="10" type="noConversion"/>
  </si>
  <si>
    <t>(%)</t>
    <phoneticPr fontId="10" type="noConversion"/>
  </si>
  <si>
    <t>D-B</t>
    <phoneticPr fontId="10" type="noConversion"/>
  </si>
  <si>
    <t>합  계</t>
    <phoneticPr fontId="10" type="noConversion"/>
  </si>
  <si>
    <t>TEU</t>
    <phoneticPr fontId="22" type="noConversion"/>
  </si>
  <si>
    <t>톤</t>
    <phoneticPr fontId="22" type="noConversion"/>
  </si>
  <si>
    <t>국제여객부두1번</t>
  </si>
  <si>
    <t>국제여객부두2번</t>
  </si>
  <si>
    <t>동부두 6</t>
    <phoneticPr fontId="22" type="noConversion"/>
  </si>
  <si>
    <t>동부두 8</t>
    <phoneticPr fontId="22" type="noConversion"/>
  </si>
  <si>
    <t>C-A</t>
    <phoneticPr fontId="10" type="noConversion"/>
  </si>
  <si>
    <t>동부두 12</t>
    <phoneticPr fontId="22" type="noConversion"/>
  </si>
  <si>
    <t>동부두 14</t>
    <phoneticPr fontId="22" type="noConversion"/>
  </si>
  <si>
    <t>동부두 15</t>
    <phoneticPr fontId="22" type="noConversion"/>
  </si>
  <si>
    <t>동부두 16</t>
    <phoneticPr fontId="22" type="noConversion"/>
  </si>
  <si>
    <t>동부두 7</t>
    <phoneticPr fontId="22" type="noConversion"/>
  </si>
  <si>
    <t>동부두 11</t>
    <phoneticPr fontId="22" type="noConversion"/>
  </si>
  <si>
    <t>TEU</t>
    <phoneticPr fontId="22" type="noConversion"/>
  </si>
  <si>
    <t>톤</t>
    <phoneticPr fontId="22" type="noConversion"/>
  </si>
  <si>
    <t>동부두 5</t>
    <phoneticPr fontId="22" type="noConversion"/>
  </si>
  <si>
    <t>자동차(대)</t>
    <phoneticPr fontId="10" type="noConversion"/>
  </si>
  <si>
    <t>동부두 9</t>
    <phoneticPr fontId="22" type="noConversion"/>
  </si>
  <si>
    <t>소계</t>
    <phoneticPr fontId="10" type="noConversion"/>
  </si>
  <si>
    <t>(단위 : 척)</t>
    <phoneticPr fontId="10" type="noConversion"/>
  </si>
  <si>
    <t>국제여객부두 1번선석</t>
  </si>
  <si>
    <t>국제여객부두 2번선석</t>
    <phoneticPr fontId="22" type="noConversion"/>
  </si>
  <si>
    <t>동부두 5번선석</t>
    <phoneticPr fontId="22" type="noConversion"/>
  </si>
  <si>
    <t>동부두 6번선석</t>
    <phoneticPr fontId="22" type="noConversion"/>
  </si>
  <si>
    <t>동부두 6번선석</t>
    <phoneticPr fontId="22" type="noConversion"/>
  </si>
  <si>
    <t>동부두 7번선석</t>
    <phoneticPr fontId="22" type="noConversion"/>
  </si>
  <si>
    <t>동부두 7번선석</t>
    <phoneticPr fontId="22" type="noConversion"/>
  </si>
  <si>
    <t>동부두 8번선석</t>
    <phoneticPr fontId="22" type="noConversion"/>
  </si>
  <si>
    <t>동부두 8번선석</t>
    <phoneticPr fontId="22" type="noConversion"/>
  </si>
  <si>
    <t>동부두 9번선석</t>
    <phoneticPr fontId="22" type="noConversion"/>
  </si>
  <si>
    <t>동부두 9번선석</t>
    <phoneticPr fontId="22" type="noConversion"/>
  </si>
  <si>
    <t>동부두 11번선석</t>
    <phoneticPr fontId="22" type="noConversion"/>
  </si>
  <si>
    <t>동부두 12번선석</t>
    <phoneticPr fontId="22" type="noConversion"/>
  </si>
  <si>
    <t>동부두 12번선석</t>
    <phoneticPr fontId="22" type="noConversion"/>
  </si>
  <si>
    <t>동부두 14번선석</t>
    <phoneticPr fontId="22" type="noConversion"/>
  </si>
  <si>
    <t>동부두 14번선석</t>
    <phoneticPr fontId="22" type="noConversion"/>
  </si>
  <si>
    <t>동부두 15번선석</t>
    <phoneticPr fontId="22" type="noConversion"/>
  </si>
  <si>
    <t>동부두 15번선석</t>
    <phoneticPr fontId="22" type="noConversion"/>
  </si>
  <si>
    <t>동부두 16번선석</t>
    <phoneticPr fontId="22" type="noConversion"/>
  </si>
  <si>
    <t>동부두 16번선석</t>
    <phoneticPr fontId="22" type="noConversion"/>
  </si>
  <si>
    <t>동부두 10</t>
    <phoneticPr fontId="22" type="noConversion"/>
  </si>
  <si>
    <t>동부두 1</t>
    <phoneticPr fontId="22" type="noConversion"/>
  </si>
  <si>
    <t>동부두 1번선석</t>
    <phoneticPr fontId="22" type="noConversion"/>
  </si>
  <si>
    <t>동부두 10번선석</t>
    <phoneticPr fontId="22" type="noConversion"/>
  </si>
  <si>
    <t>순증</t>
    <phoneticPr fontId="10" type="noConversion"/>
  </si>
  <si>
    <t>PNCT</t>
    <phoneticPr fontId="22" type="noConversion"/>
  </si>
  <si>
    <t>터미널별</t>
    <phoneticPr fontId="22" type="noConversion"/>
  </si>
  <si>
    <t>2022년 월별</t>
    <phoneticPr fontId="22" type="noConversion"/>
  </si>
  <si>
    <t>2022년 누계</t>
    <phoneticPr fontId="22" type="noConversion"/>
  </si>
  <si>
    <t>2023년 월별</t>
    <phoneticPr fontId="22" type="noConversion"/>
  </si>
  <si>
    <t>2023년 누계</t>
    <phoneticPr fontId="22" type="noConversion"/>
  </si>
  <si>
    <t>여객부두</t>
    <phoneticPr fontId="22" type="noConversion"/>
  </si>
  <si>
    <t>HPCTC</t>
    <phoneticPr fontId="22" type="noConversion"/>
  </si>
  <si>
    <t>`</t>
    <phoneticPr fontId="22" type="noConversion"/>
  </si>
  <si>
    <t>(단위 : 척, 천톤, 100% 기준)</t>
  </si>
  <si>
    <t>컨테이너</t>
    <phoneticPr fontId="10" type="noConversion"/>
  </si>
  <si>
    <t>연도별 수송실적</t>
    <phoneticPr fontId="10" type="noConversion"/>
  </si>
  <si>
    <t>(단위 : 천톤)</t>
    <phoneticPr fontId="10" type="noConversion"/>
  </si>
  <si>
    <t>(단위 : TEU)</t>
    <phoneticPr fontId="10" type="noConversion"/>
  </si>
  <si>
    <t>(단위 : 명)</t>
    <phoneticPr fontId="10" type="noConversion"/>
  </si>
  <si>
    <t>화물
입출항</t>
    <phoneticPr fontId="10" type="noConversion"/>
  </si>
  <si>
    <t>선박
입출항</t>
    <phoneticPr fontId="10" type="noConversion"/>
  </si>
  <si>
    <t>여  객</t>
    <phoneticPr fontId="10" type="noConversion"/>
  </si>
  <si>
    <t>구 분</t>
    <phoneticPr fontId="10" type="noConversion"/>
  </si>
  <si>
    <t>(선박입출항)</t>
    <phoneticPr fontId="10" type="noConversion"/>
  </si>
  <si>
    <t>(화물입출항)</t>
    <phoneticPr fontId="10" type="noConversion"/>
  </si>
  <si>
    <t>(컨테이너)</t>
    <phoneticPr fontId="10" type="noConversion"/>
  </si>
  <si>
    <t xml:space="preserve">□ 연도별 추이 </t>
    <phoneticPr fontId="21" type="noConversion"/>
  </si>
  <si>
    <t>(여 객)</t>
    <phoneticPr fontId="10" type="noConversion"/>
  </si>
  <si>
    <t>`</t>
    <phoneticPr fontId="10" type="noConversion"/>
  </si>
  <si>
    <t xml:space="preserve"> </t>
    <phoneticPr fontId="21" type="noConversion"/>
  </si>
  <si>
    <t>2025년도</t>
    <phoneticPr fontId="10" type="noConversion"/>
  </si>
  <si>
    <t>2026년도</t>
    <phoneticPr fontId="10" type="noConversion"/>
  </si>
  <si>
    <t>항만운영통계(7월)</t>
    <phoneticPr fontId="10" type="noConversion"/>
  </si>
  <si>
    <t>7월(A)</t>
    <phoneticPr fontId="10" type="noConversion"/>
  </si>
  <si>
    <t xml:space="preserve">7월누계(B) </t>
    <phoneticPr fontId="10" type="noConversion"/>
  </si>
  <si>
    <t>7월(C)</t>
    <phoneticPr fontId="10" type="noConversion"/>
  </si>
  <si>
    <t xml:space="preserve">7월누계(D) </t>
    <phoneticPr fontId="10" type="noConversion"/>
  </si>
  <si>
    <t>2026.7.</t>
    <phoneticPr fontId="21" type="noConversion"/>
  </si>
  <si>
    <t>부두별 컨테이너 물동량(7월)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</si>
</sst>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$&quot;#,##0;[Red]\-&quot;$&quot;#,##0"/>
    <numFmt numFmtId="178" formatCode="&quot;$&quot;#,##0.00;[Red]\-&quot;$&quot;#,##0.00"/>
    <numFmt numFmtId="179" formatCode="_ * #,##0_ ;_ * &quot;₩&quot;&quot;₩&quot;&quot;₩&quot;&quot;₩&quot;&quot;₩&quot;&quot;₩&quot;\-#,##0_ ;_ * &quot;-&quot;_ ;_ @_ "/>
    <numFmt numFmtId="180" formatCode="0_);[Red]\(0\)"/>
    <numFmt numFmtId="181" formatCode="#,##0_ "/>
    <numFmt numFmtId="182" formatCode="#,###,"/>
    <numFmt numFmtId="183" formatCode="#,##0_);[Red]\(#,##0\)"/>
    <numFmt numFmtId="184" formatCode="_-* #,##0.0_-;&quot;△&quot;\ #,##0.0_-;_-* &quot;-&quot;??_-;_-@_-"/>
    <numFmt numFmtId="185" formatCode="_ * #,##0_ ;_ * &quot;△&quot;#,##0_ ;_ * &quot;-&quot;_ ;_ @_ "/>
    <numFmt numFmtId="186" formatCode="0.00_);\(0.00\)"/>
    <numFmt numFmtId="187" formatCode="0.00_);[Red]\(0.00\)"/>
    <numFmt numFmtId="188" formatCode="#,##0,"/>
    <numFmt numFmtId="189" formatCode="0.0"/>
  </numFmts>
  <fonts count="4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바탕체"/>
      <family val="1"/>
      <charset val="129"/>
    </font>
    <font>
      <b/>
      <sz val="12"/>
      <name val="굴림체"/>
      <family val="3"/>
      <charset val="129"/>
    </font>
    <font>
      <b/>
      <sz val="14"/>
      <name val="돋움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.5"/>
      <name val="굴림체"/>
      <family val="3"/>
      <charset val="129"/>
    </font>
    <font>
      <b/>
      <sz val="22"/>
      <name val="휴먼모음T"/>
      <family val="1"/>
      <charset val="129"/>
    </font>
    <font>
      <sz val="10"/>
      <color indexed="12"/>
      <name val="굴림체"/>
      <family val="3"/>
      <charset val="129"/>
    </font>
    <font>
      <sz val="11"/>
      <color indexed="12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굴림"/>
      <family val="3"/>
      <charset val="129"/>
    </font>
    <font>
      <sz val="11"/>
      <color theme="1"/>
      <name val="굴림체"/>
      <family val="3"/>
      <charset val="129"/>
    </font>
    <font>
      <sz val="24"/>
      <color indexed="8"/>
      <name val="HY헤드라인M"/>
      <family val="1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굴림체"/>
      <family val="3"/>
      <charset val="129"/>
    </font>
    <font>
      <b/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99">
    <xf numFmtId="0" fontId="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38" fontId="14" fillId="2" borderId="0" applyNumberFormat="0" applyBorder="0" applyAlignment="0" applyProtection="0"/>
    <xf numFmtId="10" fontId="14" fillId="3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2" applyNumberFormat="0" applyBorder="0"/>
    <xf numFmtId="176" fontId="8" fillId="0" borderId="0" applyFont="0" applyFill="0" applyBorder="0" applyAlignment="0" applyProtection="0"/>
    <xf numFmtId="0" fontId="8" fillId="0" borderId="0"/>
    <xf numFmtId="0" fontId="25" fillId="0" borderId="0">
      <alignment vertical="center"/>
    </xf>
    <xf numFmtId="0" fontId="6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5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6" fillId="0" borderId="0"/>
    <xf numFmtId="0" fontId="25" fillId="0" borderId="0">
      <alignment vertical="center"/>
    </xf>
    <xf numFmtId="0" fontId="37" fillId="0" borderId="0">
      <alignment vertical="center"/>
    </xf>
    <xf numFmtId="0" fontId="2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298">
    <xf numFmtId="0" fontId="0" fillId="0" borderId="0" xfId="0"/>
    <xf numFmtId="18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76" fontId="15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horizontal="right" vertical="center"/>
    </xf>
    <xf numFmtId="9" fontId="16" fillId="0" borderId="0" xfId="0" quotePrefix="1" applyNumberFormat="1" applyFont="1" applyFill="1" applyBorder="1" applyAlignment="1">
      <alignment horizontal="right" vertical="center"/>
    </xf>
    <xf numFmtId="9" fontId="18" fillId="0" borderId="0" xfId="0" applyNumberFormat="1" applyFont="1" applyFill="1" applyBorder="1" applyAlignment="1">
      <alignment horizontal="right" vertical="center"/>
    </xf>
    <xf numFmtId="0" fontId="20" fillId="0" borderId="0" xfId="0" applyFont="1"/>
    <xf numFmtId="0" fontId="8" fillId="0" borderId="0" xfId="16"/>
    <xf numFmtId="0" fontId="23" fillId="0" borderId="0" xfId="0" applyFont="1" applyBorder="1" applyAlignment="1">
      <alignment horizontal="center" vertical="center"/>
    </xf>
    <xf numFmtId="183" fontId="24" fillId="0" borderId="0" xfId="0" applyNumberFormat="1" applyFont="1" applyBorder="1" applyAlignment="1">
      <alignment vertical="center"/>
    </xf>
    <xf numFmtId="0" fontId="8" fillId="0" borderId="0" xfId="16" applyAlignment="1">
      <alignment horizontal="right"/>
    </xf>
    <xf numFmtId="180" fontId="8" fillId="0" borderId="0" xfId="16" applyNumberFormat="1" applyAlignment="1">
      <alignment horizontal="right"/>
    </xf>
    <xf numFmtId="0" fontId="9" fillId="0" borderId="0" xfId="16" applyFont="1" applyAlignment="1">
      <alignment horizontal="right" vertical="center"/>
    </xf>
    <xf numFmtId="180" fontId="9" fillId="0" borderId="0" xfId="16" applyNumberFormat="1" applyFont="1" applyAlignment="1">
      <alignment horizontal="right" vertical="center"/>
    </xf>
    <xf numFmtId="0" fontId="17" fillId="0" borderId="0" xfId="16" applyFont="1" applyAlignment="1">
      <alignment vertical="center"/>
    </xf>
    <xf numFmtId="0" fontId="25" fillId="0" borderId="0" xfId="17">
      <alignment vertical="center"/>
    </xf>
    <xf numFmtId="0" fontId="28" fillId="0" borderId="0" xfId="17" applyFont="1">
      <alignment vertical="center"/>
    </xf>
    <xf numFmtId="0" fontId="0" fillId="0" borderId="0" xfId="16" applyFont="1"/>
    <xf numFmtId="0" fontId="0" fillId="0" borderId="0" xfId="0" applyFont="1"/>
    <xf numFmtId="0" fontId="25" fillId="0" borderId="0" xfId="17" applyFont="1">
      <alignment vertical="center"/>
    </xf>
    <xf numFmtId="3" fontId="0" fillId="0" borderId="0" xfId="0" applyNumberFormat="1"/>
    <xf numFmtId="43" fontId="25" fillId="0" borderId="0" xfId="17" applyNumberFormat="1">
      <alignment vertical="center"/>
    </xf>
    <xf numFmtId="0" fontId="25" fillId="0" borderId="0" xfId="17" applyFont="1" applyAlignment="1">
      <alignment horizontal="center" vertical="center"/>
    </xf>
    <xf numFmtId="0" fontId="25" fillId="0" borderId="0" xfId="17" applyAlignment="1">
      <alignment horizontal="center" vertical="center"/>
    </xf>
    <xf numFmtId="176" fontId="25" fillId="0" borderId="1" xfId="15" applyFont="1" applyBorder="1" applyAlignment="1">
      <alignment horizontal="center" vertical="center"/>
    </xf>
    <xf numFmtId="0" fontId="25" fillId="0" borderId="1" xfId="15" applyNumberFormat="1" applyFont="1" applyBorder="1" applyAlignment="1">
      <alignment horizontal="center" vertical="center"/>
    </xf>
    <xf numFmtId="41" fontId="25" fillId="0" borderId="1" xfId="15" applyNumberFormat="1" applyFont="1" applyBorder="1" applyAlignment="1">
      <alignment horizontal="center" vertical="center"/>
    </xf>
    <xf numFmtId="189" fontId="25" fillId="0" borderId="0" xfId="17" applyNumberFormat="1">
      <alignment vertical="center"/>
    </xf>
    <xf numFmtId="176" fontId="16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5" fillId="0" borderId="0" xfId="65">
      <alignment vertical="center"/>
    </xf>
    <xf numFmtId="0" fontId="25" fillId="0" borderId="0" xfId="65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Border="1" applyAlignment="1">
      <alignment horizontal="center"/>
    </xf>
    <xf numFmtId="18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5" fillId="0" borderId="0" xfId="65" applyFill="1" applyBorder="1">
      <alignment vertical="center"/>
    </xf>
    <xf numFmtId="0" fontId="8" fillId="0" borderId="0" xfId="16" applyFill="1" applyBorder="1"/>
    <xf numFmtId="186" fontId="23" fillId="0" borderId="0" xfId="0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/>
    </xf>
    <xf numFmtId="187" fontId="23" fillId="0" borderId="0" xfId="0" quotePrefix="1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 shrinkToFit="1"/>
    </xf>
    <xf numFmtId="0" fontId="17" fillId="0" borderId="0" xfId="16" applyFont="1" applyFill="1" applyBorder="1" applyAlignment="1">
      <alignment vertical="center"/>
    </xf>
    <xf numFmtId="176" fontId="16" fillId="8" borderId="6" xfId="0" applyNumberFormat="1" applyFont="1" applyFill="1" applyBorder="1" applyAlignment="1">
      <alignment horizontal="right" vertical="center"/>
    </xf>
    <xf numFmtId="9" fontId="16" fillId="8" borderId="6" xfId="0" quotePrefix="1" applyNumberFormat="1" applyFont="1" applyFill="1" applyBorder="1" applyAlignment="1">
      <alignment horizontal="right" vertical="center"/>
    </xf>
    <xf numFmtId="9" fontId="15" fillId="4" borderId="6" xfId="0" quotePrefix="1" applyNumberFormat="1" applyFont="1" applyFill="1" applyBorder="1" applyAlignment="1">
      <alignment horizontal="right" vertical="center"/>
    </xf>
    <xf numFmtId="9" fontId="9" fillId="4" borderId="6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right" vertical="center"/>
    </xf>
    <xf numFmtId="182" fontId="16" fillId="8" borderId="6" xfId="0" applyNumberFormat="1" applyFont="1" applyFill="1" applyBorder="1" applyAlignment="1">
      <alignment horizontal="right" vertical="center"/>
    </xf>
    <xf numFmtId="176" fontId="16" fillId="8" borderId="6" xfId="0" applyNumberFormat="1" applyFont="1" applyFill="1" applyBorder="1" applyAlignment="1">
      <alignment horizontal="center" vertical="center"/>
    </xf>
    <xf numFmtId="176" fontId="15" fillId="4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center" vertical="center"/>
    </xf>
    <xf numFmtId="9" fontId="9" fillId="4" borderId="11" xfId="0" applyNumberFormat="1" applyFont="1" applyFill="1" applyBorder="1" applyAlignment="1">
      <alignment horizontal="right" vertical="center"/>
    </xf>
    <xf numFmtId="9" fontId="18" fillId="8" borderId="11" xfId="0" applyNumberFormat="1" applyFont="1" applyFill="1" applyBorder="1" applyAlignment="1">
      <alignment horizontal="right" vertical="center"/>
    </xf>
    <xf numFmtId="176" fontId="15" fillId="0" borderId="6" xfId="0" applyNumberFormat="1" applyFont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right" vertical="center"/>
    </xf>
    <xf numFmtId="0" fontId="16" fillId="4" borderId="10" xfId="0" applyFont="1" applyFill="1" applyBorder="1" applyAlignment="1">
      <alignment horizontal="left"/>
    </xf>
    <xf numFmtId="176" fontId="29" fillId="4" borderId="11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 wrapText="1"/>
    </xf>
    <xf numFmtId="9" fontId="16" fillId="6" borderId="18" xfId="0" applyNumberFormat="1" applyFont="1" applyFill="1" applyBorder="1" applyAlignment="1">
      <alignment horizontal="center" vertical="center"/>
    </xf>
    <xf numFmtId="180" fontId="16" fillId="6" borderId="19" xfId="0" applyNumberFormat="1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4" borderId="20" xfId="0" applyNumberFormat="1" applyFont="1" applyFill="1" applyBorder="1" applyAlignment="1">
      <alignment horizontal="right" vertical="center"/>
    </xf>
    <xf numFmtId="9" fontId="15" fillId="4" borderId="20" xfId="0" quotePrefix="1" applyNumberFormat="1" applyFont="1" applyFill="1" applyBorder="1" applyAlignment="1">
      <alignment horizontal="right" vertical="center"/>
    </xf>
    <xf numFmtId="9" fontId="9" fillId="4" borderId="21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right" vertical="center"/>
    </xf>
    <xf numFmtId="9" fontId="16" fillId="8" borderId="23" xfId="0" quotePrefix="1" applyNumberFormat="1" applyFont="1" applyFill="1" applyBorder="1" applyAlignment="1">
      <alignment horizontal="right" vertical="center"/>
    </xf>
    <xf numFmtId="9" fontId="18" fillId="8" borderId="24" xfId="0" applyNumberFormat="1" applyFont="1" applyFill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9" fontId="15" fillId="0" borderId="18" xfId="0" quotePrefix="1" applyNumberFormat="1" applyFont="1" applyFill="1" applyBorder="1" applyAlignment="1">
      <alignment horizontal="right" vertical="center"/>
    </xf>
    <xf numFmtId="9" fontId="9" fillId="0" borderId="19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center" vertical="center"/>
    </xf>
    <xf numFmtId="182" fontId="16" fillId="8" borderId="20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right" vertical="center"/>
    </xf>
    <xf numFmtId="9" fontId="16" fillId="8" borderId="20" xfId="0" quotePrefix="1" applyNumberFormat="1" applyFont="1" applyFill="1" applyBorder="1" applyAlignment="1">
      <alignment horizontal="right" vertical="center"/>
    </xf>
    <xf numFmtId="9" fontId="18" fillId="8" borderId="21" xfId="0" applyNumberFormat="1" applyFont="1" applyFill="1" applyBorder="1" applyAlignment="1">
      <alignment horizontal="right" vertical="center"/>
    </xf>
    <xf numFmtId="0" fontId="15" fillId="4" borderId="18" xfId="0" applyFont="1" applyFill="1" applyBorder="1" applyAlignment="1">
      <alignment horizontal="center"/>
    </xf>
    <xf numFmtId="176" fontId="15" fillId="0" borderId="18" xfId="0" applyNumberFormat="1" applyFont="1" applyBorder="1" applyAlignment="1">
      <alignment horizontal="right" vertical="center"/>
    </xf>
    <xf numFmtId="176" fontId="15" fillId="0" borderId="18" xfId="0" applyNumberFormat="1" applyFont="1" applyBorder="1" applyAlignment="1">
      <alignment horizontal="center" vertical="center"/>
    </xf>
    <xf numFmtId="176" fontId="16" fillId="4" borderId="18" xfId="0" applyNumberFormat="1" applyFont="1" applyFill="1" applyBorder="1" applyAlignment="1">
      <alignment horizontal="right" vertical="center"/>
    </xf>
    <xf numFmtId="9" fontId="18" fillId="8" borderId="20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center" vertical="center" shrinkToFit="1"/>
    </xf>
    <xf numFmtId="176" fontId="16" fillId="8" borderId="23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right" vertical="center" shrinkToFit="1"/>
    </xf>
    <xf numFmtId="9" fontId="16" fillId="8" borderId="23" xfId="0" quotePrefix="1" applyNumberFormat="1" applyFont="1" applyFill="1" applyBorder="1" applyAlignment="1">
      <alignment horizontal="right" vertical="center" shrinkToFit="1"/>
    </xf>
    <xf numFmtId="41" fontId="15" fillId="0" borderId="18" xfId="0" applyNumberFormat="1" applyFont="1" applyFill="1" applyBorder="1" applyAlignment="1">
      <alignment horizontal="center" vertical="center"/>
    </xf>
    <xf numFmtId="176" fontId="29" fillId="4" borderId="18" xfId="0" applyNumberFormat="1" applyFont="1" applyFill="1" applyBorder="1" applyAlignment="1">
      <alignment horizontal="right" vertical="center"/>
    </xf>
    <xf numFmtId="176" fontId="29" fillId="4" borderId="18" xfId="0" applyNumberFormat="1" applyFont="1" applyFill="1" applyBorder="1" applyAlignment="1">
      <alignment horizontal="center" vertical="center"/>
    </xf>
    <xf numFmtId="176" fontId="29" fillId="4" borderId="19" xfId="0" applyNumberFormat="1" applyFont="1" applyFill="1" applyBorder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3" fillId="4" borderId="6" xfId="17" applyFont="1" applyFill="1" applyBorder="1" applyAlignment="1">
      <alignment horizontal="center" vertical="center"/>
    </xf>
    <xf numFmtId="184" fontId="16" fillId="4" borderId="6" xfId="17" quotePrefix="1" applyNumberFormat="1" applyFont="1" applyFill="1" applyBorder="1" applyAlignment="1">
      <alignment horizontal="right" vertical="center" shrinkToFit="1"/>
    </xf>
    <xf numFmtId="176" fontId="16" fillId="4" borderId="6" xfId="17" applyNumberFormat="1" applyFont="1" applyFill="1" applyBorder="1" applyAlignment="1">
      <alignment horizontal="right" vertical="center" shrinkToFit="1"/>
    </xf>
    <xf numFmtId="0" fontId="23" fillId="0" borderId="6" xfId="17" applyFont="1" applyFill="1" applyBorder="1" applyAlignment="1">
      <alignment horizontal="center" vertical="center"/>
    </xf>
    <xf numFmtId="184" fontId="16" fillId="4" borderId="11" xfId="17" quotePrefix="1" applyNumberFormat="1" applyFont="1" applyFill="1" applyBorder="1" applyAlignment="1">
      <alignment horizontal="right" vertical="center" shrinkToFit="1"/>
    </xf>
    <xf numFmtId="0" fontId="23" fillId="4" borderId="13" xfId="17" applyFont="1" applyFill="1" applyBorder="1" applyAlignment="1">
      <alignment horizontal="center" vertical="center"/>
    </xf>
    <xf numFmtId="184" fontId="16" fillId="4" borderId="13" xfId="17" quotePrefix="1" applyNumberFormat="1" applyFont="1" applyFill="1" applyBorder="1" applyAlignment="1">
      <alignment horizontal="right" vertical="center" shrinkToFit="1"/>
    </xf>
    <xf numFmtId="176" fontId="16" fillId="4" borderId="13" xfId="17" applyNumberFormat="1" applyFont="1" applyFill="1" applyBorder="1" applyAlignment="1">
      <alignment horizontal="right" vertical="center" shrinkToFit="1"/>
    </xf>
    <xf numFmtId="184" fontId="16" fillId="4" borderId="14" xfId="17" quotePrefix="1" applyNumberFormat="1" applyFont="1" applyFill="1" applyBorder="1" applyAlignment="1">
      <alignment horizontal="right" vertical="center" shrinkToFit="1"/>
    </xf>
    <xf numFmtId="176" fontId="16" fillId="6" borderId="18" xfId="17" applyNumberFormat="1" applyFont="1" applyFill="1" applyBorder="1" applyAlignment="1">
      <alignment horizontal="center" vertical="center"/>
    </xf>
    <xf numFmtId="9" fontId="16" fillId="6" borderId="18" xfId="17" applyNumberFormat="1" applyFont="1" applyFill="1" applyBorder="1" applyAlignment="1">
      <alignment horizontal="center" vertical="center"/>
    </xf>
    <xf numFmtId="0" fontId="18" fillId="6" borderId="18" xfId="17" applyFont="1" applyFill="1" applyBorder="1" applyAlignment="1">
      <alignment horizontal="center" vertical="center"/>
    </xf>
    <xf numFmtId="180" fontId="16" fillId="6" borderId="19" xfId="17" applyNumberFormat="1" applyFont="1" applyFill="1" applyBorder="1" applyAlignment="1">
      <alignment horizontal="center" vertical="center"/>
    </xf>
    <xf numFmtId="0" fontId="23" fillId="8" borderId="28" xfId="17" applyFont="1" applyFill="1" applyBorder="1" applyAlignment="1">
      <alignment horizontal="center" vertical="center"/>
    </xf>
    <xf numFmtId="183" fontId="23" fillId="8" borderId="28" xfId="17" applyNumberFormat="1" applyFont="1" applyFill="1" applyBorder="1" applyAlignment="1">
      <alignment vertical="center" shrinkToFit="1"/>
    </xf>
    <xf numFmtId="185" fontId="16" fillId="8" borderId="28" xfId="17" applyNumberFormat="1" applyFont="1" applyFill="1" applyBorder="1" applyAlignment="1">
      <alignment horizontal="right" vertical="center" shrinkToFit="1"/>
    </xf>
    <xf numFmtId="184" fontId="16" fillId="8" borderId="28" xfId="17" quotePrefix="1" applyNumberFormat="1" applyFont="1" applyFill="1" applyBorder="1" applyAlignment="1">
      <alignment horizontal="right" vertical="center" shrinkToFit="1"/>
    </xf>
    <xf numFmtId="176" fontId="16" fillId="8" borderId="28" xfId="17" applyNumberFormat="1" applyFont="1" applyFill="1" applyBorder="1" applyAlignment="1">
      <alignment horizontal="right" vertical="center" shrinkToFit="1"/>
    </xf>
    <xf numFmtId="184" fontId="16" fillId="8" borderId="29" xfId="17" quotePrefix="1" applyNumberFormat="1" applyFont="1" applyFill="1" applyBorder="1" applyAlignment="1">
      <alignment horizontal="right" vertical="center" shrinkToFit="1"/>
    </xf>
    <xf numFmtId="0" fontId="23" fillId="8" borderId="15" xfId="17" applyFont="1" applyFill="1" applyBorder="1" applyAlignment="1">
      <alignment horizontal="center" vertical="center"/>
    </xf>
    <xf numFmtId="183" fontId="23" fillId="8" borderId="15" xfId="17" applyNumberFormat="1" applyFont="1" applyFill="1" applyBorder="1" applyAlignment="1">
      <alignment vertical="center" shrinkToFit="1"/>
    </xf>
    <xf numFmtId="185" fontId="16" fillId="8" borderId="15" xfId="17" applyNumberFormat="1" applyFont="1" applyFill="1" applyBorder="1" applyAlignment="1">
      <alignment horizontal="right" vertical="center" shrinkToFit="1"/>
    </xf>
    <xf numFmtId="184" fontId="16" fillId="8" borderId="15" xfId="17" quotePrefix="1" applyNumberFormat="1" applyFont="1" applyFill="1" applyBorder="1" applyAlignment="1">
      <alignment horizontal="right" vertical="center" shrinkToFit="1"/>
    </xf>
    <xf numFmtId="176" fontId="16" fillId="8" borderId="15" xfId="17" applyNumberFormat="1" applyFont="1" applyFill="1" applyBorder="1" applyAlignment="1">
      <alignment horizontal="right" vertical="center" shrinkToFit="1"/>
    </xf>
    <xf numFmtId="184" fontId="16" fillId="8" borderId="16" xfId="17" quotePrefix="1" applyNumberFormat="1" applyFont="1" applyFill="1" applyBorder="1" applyAlignment="1">
      <alignment horizontal="right" vertical="center" shrinkToFit="1"/>
    </xf>
    <xf numFmtId="0" fontId="23" fillId="9" borderId="6" xfId="17" applyFont="1" applyFill="1" applyBorder="1" applyAlignment="1">
      <alignment horizontal="center" vertical="center"/>
    </xf>
    <xf numFmtId="184" fontId="16" fillId="9" borderId="6" xfId="17" quotePrefix="1" applyNumberFormat="1" applyFont="1" applyFill="1" applyBorder="1" applyAlignment="1">
      <alignment horizontal="right" vertical="center" shrinkToFit="1"/>
    </xf>
    <xf numFmtId="176" fontId="16" fillId="9" borderId="6" xfId="17" applyNumberFormat="1" applyFont="1" applyFill="1" applyBorder="1" applyAlignment="1">
      <alignment horizontal="right" vertical="center" shrinkToFit="1"/>
    </xf>
    <xf numFmtId="184" fontId="16" fillId="9" borderId="11" xfId="17" quotePrefix="1" applyNumberFormat="1" applyFont="1" applyFill="1" applyBorder="1" applyAlignment="1">
      <alignment horizontal="right" vertical="center" shrinkToFit="1"/>
    </xf>
    <xf numFmtId="41" fontId="24" fillId="9" borderId="6" xfId="23" applyFont="1" applyFill="1" applyBorder="1" applyAlignment="1">
      <alignment horizontal="right" vertical="center"/>
    </xf>
    <xf numFmtId="0" fontId="23" fillId="6" borderId="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186" fontId="23" fillId="6" borderId="31" xfId="0" applyNumberFormat="1" applyFont="1" applyFill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/>
    </xf>
    <xf numFmtId="187" fontId="23" fillId="6" borderId="31" xfId="0" quotePrefix="1" applyNumberFormat="1" applyFont="1" applyFill="1" applyBorder="1" applyAlignment="1">
      <alignment horizontal="center" vertical="center"/>
    </xf>
    <xf numFmtId="188" fontId="38" fillId="0" borderId="32" xfId="0" applyNumberFormat="1" applyFont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 shrinkToFit="1"/>
    </xf>
    <xf numFmtId="0" fontId="25" fillId="0" borderId="0" xfId="17" applyFill="1">
      <alignment vertical="center"/>
    </xf>
    <xf numFmtId="0" fontId="23" fillId="9" borderId="28" xfId="17" applyFont="1" applyFill="1" applyBorder="1" applyAlignment="1">
      <alignment horizontal="center" vertical="center"/>
    </xf>
    <xf numFmtId="184" fontId="16" fillId="9" borderId="28" xfId="17" quotePrefix="1" applyNumberFormat="1" applyFont="1" applyFill="1" applyBorder="1" applyAlignment="1">
      <alignment horizontal="right" vertical="center" shrinkToFit="1"/>
    </xf>
    <xf numFmtId="176" fontId="16" fillId="9" borderId="28" xfId="17" applyNumberFormat="1" applyFont="1" applyFill="1" applyBorder="1" applyAlignment="1">
      <alignment horizontal="right" vertical="center" shrinkToFit="1"/>
    </xf>
    <xf numFmtId="184" fontId="16" fillId="9" borderId="34" xfId="17" quotePrefix="1" applyNumberFormat="1" applyFont="1" applyFill="1" applyBorder="1" applyAlignment="1">
      <alignment horizontal="right" vertical="center" shrinkToFit="1"/>
    </xf>
    <xf numFmtId="176" fontId="15" fillId="4" borderId="15" xfId="0" applyNumberFormat="1" applyFont="1" applyFill="1" applyBorder="1" applyAlignment="1">
      <alignment horizontal="center" vertical="center"/>
    </xf>
    <xf numFmtId="0" fontId="23" fillId="5" borderId="6" xfId="17" applyFont="1" applyFill="1" applyBorder="1" applyAlignment="1">
      <alignment horizontal="center" vertical="center"/>
    </xf>
    <xf numFmtId="184" fontId="16" fillId="5" borderId="6" xfId="17" quotePrefix="1" applyNumberFormat="1" applyFont="1" applyFill="1" applyBorder="1" applyAlignment="1">
      <alignment horizontal="right" vertical="center" shrinkToFit="1"/>
    </xf>
    <xf numFmtId="176" fontId="16" fillId="5" borderId="6" xfId="17" applyNumberFormat="1" applyFont="1" applyFill="1" applyBorder="1" applyAlignment="1">
      <alignment horizontal="right" vertical="center" shrinkToFit="1"/>
    </xf>
    <xf numFmtId="184" fontId="16" fillId="5" borderId="11" xfId="17" quotePrefix="1" applyNumberFormat="1" applyFont="1" applyFill="1" applyBorder="1" applyAlignment="1">
      <alignment horizontal="right" vertical="center" shrinkToFit="1"/>
    </xf>
    <xf numFmtId="185" fontId="16" fillId="9" borderId="35" xfId="17" applyNumberFormat="1" applyFont="1" applyFill="1" applyBorder="1" applyAlignment="1">
      <alignment horizontal="right" vertical="center" shrinkToFit="1"/>
    </xf>
    <xf numFmtId="185" fontId="16" fillId="5" borderId="36" xfId="17" applyNumberFormat="1" applyFont="1" applyFill="1" applyBorder="1" applyAlignment="1">
      <alignment horizontal="right" vertical="center" shrinkToFit="1"/>
    </xf>
    <xf numFmtId="185" fontId="16" fillId="9" borderId="36" xfId="17" applyNumberFormat="1" applyFont="1" applyFill="1" applyBorder="1" applyAlignment="1">
      <alignment horizontal="right" vertical="center" shrinkToFit="1"/>
    </xf>
    <xf numFmtId="41" fontId="24" fillId="5" borderId="6" xfId="40" applyFont="1" applyFill="1" applyBorder="1" applyAlignment="1">
      <alignment horizontal="center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3" xfId="0" applyNumberFormat="1" applyFont="1" applyFill="1" applyBorder="1" applyAlignment="1">
      <alignment horizontal="right" vertical="center" shrinkToFit="1"/>
    </xf>
    <xf numFmtId="9" fontId="31" fillId="8" borderId="23" xfId="0" quotePrefix="1" applyNumberFormat="1" applyFont="1" applyFill="1" applyBorder="1" applyAlignment="1">
      <alignment horizontal="right" vertical="center"/>
    </xf>
    <xf numFmtId="9" fontId="39" fillId="8" borderId="24" xfId="0" applyNumberFormat="1" applyFont="1" applyFill="1" applyBorder="1" applyAlignment="1">
      <alignment horizontal="right" vertical="center"/>
    </xf>
    <xf numFmtId="185" fontId="16" fillId="5" borderId="37" xfId="17" applyNumberFormat="1" applyFont="1" applyFill="1" applyBorder="1" applyAlignment="1">
      <alignment horizontal="right" vertical="center" shrinkToFit="1"/>
    </xf>
    <xf numFmtId="180" fontId="15" fillId="0" borderId="0" xfId="0" applyNumberFormat="1" applyFont="1" applyAlignment="1">
      <alignment horizontal="right" vertical="center"/>
    </xf>
    <xf numFmtId="0" fontId="24" fillId="0" borderId="0" xfId="65" applyFont="1">
      <alignment vertical="center"/>
    </xf>
    <xf numFmtId="180" fontId="15" fillId="0" borderId="0" xfId="17" applyNumberFormat="1" applyFont="1" applyAlignment="1">
      <alignment horizontal="right" vertical="center"/>
    </xf>
    <xf numFmtId="0" fontId="24" fillId="0" borderId="0" xfId="17" applyFont="1">
      <alignment vertical="center"/>
    </xf>
    <xf numFmtId="183" fontId="0" fillId="0" borderId="0" xfId="0" applyNumberFormat="1" applyAlignment="1">
      <alignment horizontal="right"/>
    </xf>
    <xf numFmtId="183" fontId="9" fillId="0" borderId="0" xfId="0" applyNumberFormat="1" applyFont="1" applyAlignment="1">
      <alignment horizontal="right" vertical="center"/>
    </xf>
    <xf numFmtId="183" fontId="25" fillId="0" borderId="0" xfId="65" applyNumberFormat="1">
      <alignment vertical="center"/>
    </xf>
    <xf numFmtId="183" fontId="25" fillId="0" borderId="0" xfId="17" applyNumberFormat="1" applyAlignment="1">
      <alignment horizontal="right"/>
    </xf>
    <xf numFmtId="183" fontId="9" fillId="0" borderId="0" xfId="17" applyNumberFormat="1" applyFont="1" applyAlignment="1">
      <alignment horizontal="right" vertical="center"/>
    </xf>
    <xf numFmtId="183" fontId="31" fillId="6" borderId="18" xfId="17" applyNumberFormat="1" applyFont="1" applyFill="1" applyBorder="1" applyAlignment="1">
      <alignment horizontal="center" vertical="center"/>
    </xf>
    <xf numFmtId="183" fontId="16" fillId="6" borderId="18" xfId="17" applyNumberFormat="1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5" fillId="0" borderId="0" xfId="17" applyNumberFormat="1">
      <alignment vertical="center"/>
    </xf>
    <xf numFmtId="183" fontId="25" fillId="0" borderId="0" xfId="17" applyNumberFormat="1" applyAlignment="1">
      <alignment horizontal="center" vertical="center"/>
    </xf>
    <xf numFmtId="176" fontId="23" fillId="8" borderId="28" xfId="15" applyFont="1" applyFill="1" applyBorder="1" applyAlignment="1">
      <alignment horizontal="center" vertical="center" shrinkToFit="1"/>
    </xf>
    <xf numFmtId="176" fontId="23" fillId="8" borderId="15" xfId="15" applyFont="1" applyFill="1" applyBorder="1" applyAlignment="1">
      <alignment horizontal="center" vertical="center" shrinkToFit="1"/>
    </xf>
    <xf numFmtId="176" fontId="0" fillId="0" borderId="0" xfId="15" applyFont="1" applyAlignment="1">
      <alignment horizontal="right"/>
    </xf>
    <xf numFmtId="176" fontId="25" fillId="0" borderId="0" xfId="15" applyFont="1" applyAlignment="1">
      <alignment vertical="center"/>
    </xf>
    <xf numFmtId="176" fontId="25" fillId="0" borderId="0" xfId="15" applyFont="1" applyAlignment="1">
      <alignment horizontal="right"/>
    </xf>
    <xf numFmtId="176" fontId="16" fillId="6" borderId="18" xfId="15" applyFont="1" applyFill="1" applyBorder="1" applyAlignment="1">
      <alignment horizontal="center" vertical="center"/>
    </xf>
    <xf numFmtId="176" fontId="23" fillId="8" borderId="28" xfId="15" applyFont="1" applyFill="1" applyBorder="1" applyAlignment="1">
      <alignment vertical="center" shrinkToFit="1"/>
    </xf>
    <xf numFmtId="176" fontId="23" fillId="8" borderId="15" xfId="15" applyFont="1" applyFill="1" applyBorder="1" applyAlignment="1">
      <alignment vertical="center" shrinkToFit="1"/>
    </xf>
    <xf numFmtId="176" fontId="24" fillId="9" borderId="6" xfId="15" applyFont="1" applyFill="1" applyBorder="1" applyAlignment="1">
      <alignment horizontal="right" vertical="center"/>
    </xf>
    <xf numFmtId="185" fontId="41" fillId="10" borderId="36" xfId="103" applyNumberFormat="1" applyFont="1" applyBorder="1" applyAlignment="1">
      <alignment horizontal="right" vertical="center" shrinkToFit="1"/>
    </xf>
    <xf numFmtId="176" fontId="15" fillId="0" borderId="6" xfId="15" applyFont="1" applyFill="1" applyBorder="1" applyAlignment="1">
      <alignment horizontal="center" vertical="center"/>
    </xf>
    <xf numFmtId="176" fontId="0" fillId="0" borderId="0" xfId="15" applyFont="1"/>
    <xf numFmtId="176" fontId="7" fillId="0" borderId="0" xfId="15" applyFont="1" applyBorder="1" applyAlignment="1">
      <alignment vertical="center"/>
    </xf>
    <xf numFmtId="176" fontId="7" fillId="0" borderId="0" xfId="15" applyFont="1" applyBorder="1" applyAlignment="1">
      <alignment horizontal="right" vertical="center"/>
    </xf>
    <xf numFmtId="176" fontId="16" fillId="6" borderId="8" xfId="15" quotePrefix="1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/>
    </xf>
    <xf numFmtId="176" fontId="15" fillId="0" borderId="18" xfId="15" applyFont="1" applyBorder="1" applyAlignment="1">
      <alignment horizontal="right" vertical="center"/>
    </xf>
    <xf numFmtId="176" fontId="16" fillId="8" borderId="23" xfId="15" applyFont="1" applyFill="1" applyBorder="1" applyAlignment="1">
      <alignment horizontal="center" vertical="center" shrinkToFit="1"/>
    </xf>
    <xf numFmtId="176" fontId="16" fillId="8" borderId="20" xfId="15" applyFont="1" applyFill="1" applyBorder="1" applyAlignment="1">
      <alignment horizontal="center" vertical="center"/>
    </xf>
    <xf numFmtId="176" fontId="15" fillId="0" borderId="6" xfId="15" applyFont="1" applyFill="1" applyBorder="1" applyAlignment="1">
      <alignment horizontal="right" vertical="center"/>
    </xf>
    <xf numFmtId="176" fontId="29" fillId="4" borderId="6" xfId="15" applyFont="1" applyFill="1" applyBorder="1" applyAlignment="1">
      <alignment horizontal="center" vertical="center"/>
    </xf>
    <xf numFmtId="176" fontId="15" fillId="0" borderId="18" xfId="15" applyFont="1" applyFill="1" applyBorder="1" applyAlignment="1">
      <alignment horizontal="center" vertical="center"/>
    </xf>
    <xf numFmtId="176" fontId="16" fillId="0" borderId="0" xfId="15" applyFont="1" applyFill="1" applyBorder="1" applyAlignment="1">
      <alignment horizontal="right" vertical="center"/>
    </xf>
    <xf numFmtId="182" fontId="16" fillId="8" borderId="23" xfId="15" applyNumberFormat="1" applyFont="1" applyFill="1" applyBorder="1" applyAlignment="1">
      <alignment horizontal="right" vertical="center"/>
    </xf>
    <xf numFmtId="182" fontId="16" fillId="8" borderId="20" xfId="15" applyNumberFormat="1" applyFont="1" applyFill="1" applyBorder="1" applyAlignment="1">
      <alignment horizontal="right" vertical="center"/>
    </xf>
    <xf numFmtId="182" fontId="16" fillId="8" borderId="6" xfId="15" applyNumberFormat="1" applyFont="1" applyFill="1" applyBorder="1" applyAlignment="1">
      <alignment horizontal="right" vertical="center"/>
    </xf>
    <xf numFmtId="176" fontId="40" fillId="0" borderId="6" xfId="15" applyFont="1" applyBorder="1" applyAlignment="1">
      <alignment horizontal="right" vertical="center"/>
    </xf>
    <xf numFmtId="176" fontId="40" fillId="4" borderId="6" xfId="0" applyNumberFormat="1" applyFont="1" applyFill="1" applyBorder="1" applyAlignment="1">
      <alignment horizontal="center" vertical="center"/>
    </xf>
    <xf numFmtId="176" fontId="9" fillId="0" borderId="0" xfId="15" applyFont="1" applyAlignment="1">
      <alignment horizontal="right" vertical="center"/>
    </xf>
    <xf numFmtId="176" fontId="18" fillId="6" borderId="18" xfId="15" applyFont="1" applyFill="1" applyBorder="1" applyAlignment="1">
      <alignment horizontal="center" vertical="center"/>
    </xf>
    <xf numFmtId="176" fontId="15" fillId="4" borderId="20" xfId="15" applyFont="1" applyFill="1" applyBorder="1" applyAlignment="1">
      <alignment horizontal="right" vertical="center"/>
    </xf>
    <xf numFmtId="176" fontId="15" fillId="0" borderId="18" xfId="15" applyFont="1" applyFill="1" applyBorder="1" applyAlignment="1">
      <alignment horizontal="right" vertical="center"/>
    </xf>
    <xf numFmtId="176" fontId="16" fillId="8" borderId="20" xfId="15" applyFont="1" applyFill="1" applyBorder="1" applyAlignment="1">
      <alignment horizontal="right" vertical="center"/>
    </xf>
    <xf numFmtId="176" fontId="18" fillId="8" borderId="6" xfId="15" applyFont="1" applyFill="1" applyBorder="1" applyAlignment="1">
      <alignment horizontal="right" vertical="center"/>
    </xf>
    <xf numFmtId="176" fontId="40" fillId="4" borderId="6" xfId="15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 shrinkToFit="1"/>
    </xf>
    <xf numFmtId="176" fontId="9" fillId="4" borderId="6" xfId="15" applyFont="1" applyFill="1" applyBorder="1" applyAlignment="1">
      <alignment horizontal="right" vertical="center"/>
    </xf>
    <xf numFmtId="176" fontId="9" fillId="4" borderId="18" xfId="15" applyFont="1" applyFill="1" applyBorder="1" applyAlignment="1">
      <alignment horizontal="right" vertical="center"/>
    </xf>
    <xf numFmtId="176" fontId="31" fillId="8" borderId="23" xfId="15" applyFont="1" applyFill="1" applyBorder="1" applyAlignment="1">
      <alignment horizontal="right" vertical="center" shrinkToFit="1"/>
    </xf>
    <xf numFmtId="176" fontId="18" fillId="0" borderId="0" xfId="15" applyFont="1" applyFill="1" applyBorder="1" applyAlignment="1">
      <alignment horizontal="right" vertical="center"/>
    </xf>
    <xf numFmtId="182" fontId="18" fillId="8" borderId="23" xfId="15" applyNumberFormat="1" applyFont="1" applyFill="1" applyBorder="1" applyAlignment="1">
      <alignment horizontal="right" vertical="center"/>
    </xf>
    <xf numFmtId="176" fontId="33" fillId="5" borderId="20" xfId="15" applyFont="1" applyFill="1" applyBorder="1" applyAlignment="1">
      <alignment horizontal="right" vertical="center"/>
    </xf>
    <xf numFmtId="176" fontId="33" fillId="5" borderId="18" xfId="15" applyFont="1" applyFill="1" applyBorder="1" applyAlignment="1">
      <alignment horizontal="right" vertical="center"/>
    </xf>
    <xf numFmtId="182" fontId="36" fillId="0" borderId="6" xfId="22" applyNumberFormat="1" applyFont="1" applyBorder="1">
      <alignment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15" fillId="0" borderId="6" xfId="0" applyNumberFormat="1" applyFont="1" applyBorder="1" applyAlignment="1">
      <alignment horizontal="right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2" xfId="15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188" fontId="24" fillId="0" borderId="13" xfId="0" applyNumberFormat="1" applyFont="1" applyBorder="1" applyAlignment="1">
      <alignment horizontal="center" vertical="center"/>
    </xf>
    <xf numFmtId="188" fontId="24" fillId="0" borderId="25" xfId="0" applyNumberFormat="1" applyFont="1" applyBorder="1" applyAlignment="1">
      <alignment horizontal="center" vertical="center"/>
    </xf>
    <xf numFmtId="188" fontId="24" fillId="0" borderId="25" xfId="15" applyNumberFormat="1" applyFont="1" applyBorder="1" applyAlignment="1">
      <alignment horizontal="center" vertical="center"/>
    </xf>
    <xf numFmtId="176" fontId="24" fillId="0" borderId="13" xfId="15" applyFont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9" borderId="6" xfId="23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5" borderId="6" xfId="40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76" fontId="24" fillId="9" borderId="6" xfId="15" applyFont="1" applyFill="1" applyBorder="1" applyAlignment="1">
      <alignment horizontal="right" vertical="center"/>
    </xf>
    <xf numFmtId="176" fontId="24" fillId="0" borderId="13" xfId="15" applyFont="1" applyBorder="1" applyAlignment="1">
      <alignment horizontal="center" vertical="center" shrinkToFit="1"/>
    </xf>
    <xf numFmtId="176" fontId="24" fillId="0" borderId="25" xfId="15" applyFont="1" applyBorder="1" applyAlignment="1">
      <alignment horizontal="center" vertical="center" shrinkToFit="1"/>
    </xf>
    <xf numFmtId="41" fontId="24" fillId="9" borderId="6" xfId="23" applyFont="1" applyFill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41" fontId="24" fillId="0" borderId="6" xfId="23" applyFont="1" applyFill="1" applyBorder="1" applyAlignment="1">
      <alignment horizontal="right" vertical="center"/>
    </xf>
    <xf numFmtId="41" fontId="24" fillId="9" borderId="28" xfId="40" applyFont="1" applyFill="1" applyBorder="1" applyAlignment="1">
      <alignment horizontal="center" vertical="center"/>
    </xf>
    <xf numFmtId="41" fontId="24" fillId="9" borderId="6" xfId="40" applyFont="1" applyFill="1" applyBorder="1" applyAlignment="1">
      <alignment horizontal="center" vertical="center"/>
    </xf>
    <xf numFmtId="41" fontId="24" fillId="5" borderId="13" xfId="40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center" vertical="center"/>
    </xf>
    <xf numFmtId="182" fontId="15" fillId="0" borderId="6" xfId="0" applyNumberFormat="1" applyFont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183" fontId="24" fillId="5" borderId="6" xfId="0" applyNumberFormat="1" applyFont="1" applyFill="1" applyBorder="1" applyAlignment="1">
      <alignment horizontal="right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4" fillId="9" borderId="28" xfId="0" applyNumberFormat="1" applyFont="1" applyFill="1" applyBorder="1" applyAlignment="1">
      <alignment horizontal="right" vertical="center"/>
    </xf>
    <xf numFmtId="183" fontId="34" fillId="9" borderId="6" xfId="0" applyNumberFormat="1" applyFont="1" applyFill="1" applyBorder="1" applyAlignment="1">
      <alignment horizontal="right" vertical="center"/>
    </xf>
    <xf numFmtId="183" fontId="24" fillId="9" borderId="6" xfId="0" applyNumberFormat="1" applyFont="1" applyFill="1" applyBorder="1" applyAlignment="1">
      <alignment horizontal="right" vertical="center"/>
    </xf>
    <xf numFmtId="183" fontId="24" fillId="0" borderId="13" xfId="23" applyNumberFormat="1" applyFont="1" applyFill="1" applyBorder="1" applyAlignment="1">
      <alignment horizontal="right" vertical="center"/>
    </xf>
    <xf numFmtId="183" fontId="24" fillId="5" borderId="13" xfId="0" applyNumberFormat="1" applyFont="1" applyFill="1" applyBorder="1" applyAlignment="1">
      <alignment horizontal="right" vertical="center"/>
    </xf>
    <xf numFmtId="176" fontId="15" fillId="0" borderId="20" xfId="19" applyNumberFormat="1" applyFont="1" applyFill="1" applyBorder="1" applyAlignment="1">
      <alignment horizontal="center" vertical="center"/>
    </xf>
    <xf numFmtId="176" fontId="15" fillId="0" borderId="6" xfId="19" applyNumberFormat="1" applyFont="1" applyFill="1" applyBorder="1" applyAlignment="1">
      <alignment horizontal="center" vertical="center"/>
    </xf>
    <xf numFmtId="176" fontId="15" fillId="0" borderId="18" xfId="19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16" fillId="6" borderId="12" xfId="0" applyNumberFormat="1" applyFont="1" applyFill="1" applyBorder="1" applyAlignment="1">
      <alignment horizontal="center" vertical="center"/>
    </xf>
    <xf numFmtId="176" fontId="16" fillId="6" borderId="13" xfId="0" applyNumberFormat="1" applyFont="1" applyFill="1" applyBorder="1" applyAlignment="1">
      <alignment horizontal="center" vertical="center"/>
    </xf>
    <xf numFmtId="176" fontId="16" fillId="6" borderId="25" xfId="0" applyNumberFormat="1" applyFont="1" applyFill="1" applyBorder="1" applyAlignment="1">
      <alignment horizontal="center" vertical="center"/>
    </xf>
    <xf numFmtId="9" fontId="16" fillId="4" borderId="18" xfId="0" applyNumberFormat="1" applyFont="1" applyFill="1" applyBorder="1" applyAlignment="1">
      <alignment horizontal="right"/>
    </xf>
    <xf numFmtId="9" fontId="16" fillId="4" borderId="18" xfId="0" quotePrefix="1" applyNumberFormat="1" applyFont="1" applyFill="1" applyBorder="1" applyAlignment="1">
      <alignment horizontal="right"/>
    </xf>
    <xf numFmtId="9" fontId="16" fillId="4" borderId="19" xfId="0" quotePrefix="1" applyNumberFormat="1" applyFont="1" applyFill="1" applyBorder="1" applyAlignment="1">
      <alignment horizontal="right"/>
    </xf>
    <xf numFmtId="176" fontId="16" fillId="6" borderId="8" xfId="0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16" fillId="6" borderId="17" xfId="0" applyNumberFormat="1" applyFont="1" applyFill="1" applyBorder="1" applyAlignment="1">
      <alignment horizontal="center" vertical="center"/>
    </xf>
    <xf numFmtId="176" fontId="16" fillId="6" borderId="10" xfId="0" applyNumberFormat="1" applyFont="1" applyFill="1" applyBorder="1" applyAlignment="1">
      <alignment horizontal="center" vertical="center"/>
    </xf>
    <xf numFmtId="176" fontId="16" fillId="6" borderId="17" xfId="0" applyNumberFormat="1" applyFont="1" applyFill="1" applyBorder="1" applyAlignment="1">
      <alignment horizontal="center" vertical="center" wrapText="1"/>
    </xf>
    <xf numFmtId="176" fontId="16" fillId="8" borderId="22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center" vertical="center"/>
    </xf>
    <xf numFmtId="176" fontId="16" fillId="6" borderId="9" xfId="0" applyNumberFormat="1" applyFont="1" applyFill="1" applyBorder="1" applyAlignment="1">
      <alignment horizontal="center" vertical="center"/>
    </xf>
    <xf numFmtId="176" fontId="15" fillId="6" borderId="7" xfId="0" applyNumberFormat="1" applyFont="1" applyFill="1" applyBorder="1" applyAlignment="1">
      <alignment horizontal="center" vertical="center"/>
    </xf>
    <xf numFmtId="0" fontId="0" fillId="6" borderId="8" xfId="0" applyFont="1" applyFill="1" applyBorder="1"/>
    <xf numFmtId="0" fontId="0" fillId="6" borderId="10" xfId="0" applyFont="1" applyFill="1" applyBorder="1"/>
    <xf numFmtId="0" fontId="0" fillId="6" borderId="18" xfId="0" applyFont="1" applyFill="1" applyBorder="1"/>
    <xf numFmtId="176" fontId="15" fillId="0" borderId="20" xfId="0" applyNumberFormat="1" applyFont="1" applyFill="1" applyBorder="1" applyAlignment="1">
      <alignment horizontal="center" vertical="center"/>
    </xf>
    <xf numFmtId="176" fontId="15" fillId="0" borderId="18" xfId="0" applyNumberFormat="1" applyFont="1" applyFill="1" applyBorder="1" applyAlignment="1">
      <alignment horizontal="center" vertical="center"/>
    </xf>
    <xf numFmtId="0" fontId="35" fillId="7" borderId="4" xfId="65" applyFont="1" applyFill="1" applyBorder="1" applyAlignment="1">
      <alignment horizontal="center" vertical="center"/>
    </xf>
    <xf numFmtId="0" fontId="35" fillId="7" borderId="5" xfId="65" applyFont="1" applyFill="1" applyBorder="1" applyAlignment="1">
      <alignment horizontal="center" vertical="center"/>
    </xf>
    <xf numFmtId="0" fontId="35" fillId="7" borderId="3" xfId="65" applyFont="1" applyFill="1" applyBorder="1" applyAlignment="1">
      <alignment horizontal="center" vertical="center"/>
    </xf>
    <xf numFmtId="0" fontId="18" fillId="0" borderId="0" xfId="0" applyFont="1" applyBorder="1" applyAlignment="1">
      <alignment horizontal="right"/>
    </xf>
    <xf numFmtId="0" fontId="35" fillId="7" borderId="1" xfId="65" applyFont="1" applyFill="1" applyBorder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17" fillId="0" borderId="0" xfId="16" applyFont="1" applyAlignment="1">
      <alignment horizontal="left" vertical="center"/>
    </xf>
    <xf numFmtId="180" fontId="18" fillId="0" borderId="0" xfId="0" applyNumberFormat="1" applyFont="1" applyBorder="1" applyAlignment="1">
      <alignment horizontal="right"/>
    </xf>
    <xf numFmtId="0" fontId="24" fillId="6" borderId="10" xfId="17" applyFont="1" applyFill="1" applyBorder="1" applyAlignment="1">
      <alignment horizontal="center" vertical="center"/>
    </xf>
    <xf numFmtId="0" fontId="24" fillId="6" borderId="12" xfId="17" applyFont="1" applyFill="1" applyBorder="1" applyAlignment="1">
      <alignment horizontal="center" vertical="center"/>
    </xf>
    <xf numFmtId="176" fontId="16" fillId="6" borderId="7" xfId="17" applyNumberFormat="1" applyFont="1" applyFill="1" applyBorder="1" applyAlignment="1">
      <alignment horizontal="center" vertical="center"/>
    </xf>
    <xf numFmtId="176" fontId="16" fillId="6" borderId="26" xfId="17" applyNumberFormat="1" applyFont="1" applyFill="1" applyBorder="1" applyAlignment="1">
      <alignment horizontal="center" vertical="center"/>
    </xf>
    <xf numFmtId="0" fontId="23" fillId="8" borderId="27" xfId="17" applyFont="1" applyFill="1" applyBorder="1" applyAlignment="1">
      <alignment horizontal="center" vertical="center"/>
    </xf>
    <xf numFmtId="0" fontId="23" fillId="8" borderId="30" xfId="17" applyFont="1" applyFill="1" applyBorder="1" applyAlignment="1">
      <alignment horizontal="center" vertical="center"/>
    </xf>
    <xf numFmtId="0" fontId="24" fillId="6" borderId="33" xfId="17" applyFont="1" applyFill="1" applyBorder="1" applyAlignment="1">
      <alignment horizontal="center" vertical="center"/>
    </xf>
    <xf numFmtId="176" fontId="16" fillId="6" borderId="8" xfId="17" applyNumberFormat="1" applyFont="1" applyFill="1" applyBorder="1" applyAlignment="1">
      <alignment horizontal="center" vertical="center"/>
    </xf>
    <xf numFmtId="176" fontId="16" fillId="6" borderId="9" xfId="17" applyNumberFormat="1" applyFont="1" applyFill="1" applyBorder="1" applyAlignment="1">
      <alignment horizontal="center" vertical="center"/>
    </xf>
    <xf numFmtId="0" fontId="26" fillId="6" borderId="8" xfId="17" applyFont="1" applyFill="1" applyBorder="1" applyAlignment="1">
      <alignment horizontal="center" vertical="center"/>
    </xf>
    <xf numFmtId="0" fontId="26" fillId="6" borderId="18" xfId="17" applyFont="1" applyFill="1" applyBorder="1" applyAlignment="1">
      <alignment horizontal="center" vertical="center"/>
    </xf>
    <xf numFmtId="183" fontId="16" fillId="6" borderId="8" xfId="17" applyNumberFormat="1" applyFont="1" applyFill="1" applyBorder="1" applyAlignment="1">
      <alignment horizontal="center" vertical="center"/>
    </xf>
  </cellXfs>
  <cellStyles count="299">
    <cellStyle name="20% - 강조색6" xfId="103" builtinId="50"/>
    <cellStyle name="20% - 강조색6 2" xfId="298" xr:uid="{00000000-0005-0000-0000-000001000000}"/>
    <cellStyle name="20% - 강조색6 3" xfId="233" xr:uid="{00000000-0005-0000-0000-000002000000}"/>
    <cellStyle name="20% - 강조색6 4" xfId="168" xr:uid="{00000000-0005-0000-0000-000003000000}"/>
    <cellStyle name="Comma [0]_5year" xfId="1" xr:uid="{00000000-0005-0000-0000-000004000000}"/>
    <cellStyle name="Comma_495ALL" xfId="2" xr:uid="{00000000-0005-0000-0000-000005000000}"/>
    <cellStyle name="Currency [0]_5year" xfId="3" xr:uid="{00000000-0005-0000-0000-000006000000}"/>
    <cellStyle name="Currency_495ALL" xfId="4" xr:uid="{00000000-0005-0000-0000-000007000000}"/>
    <cellStyle name="Grey" xfId="5" xr:uid="{00000000-0005-0000-0000-000008000000}"/>
    <cellStyle name="Input [yellow]" xfId="6" xr:uid="{00000000-0005-0000-0000-000009000000}"/>
    <cellStyle name="Milliers [0]_AR1194" xfId="7" xr:uid="{00000000-0005-0000-0000-00000A000000}"/>
    <cellStyle name="Milliers_AR1194" xfId="8" xr:uid="{00000000-0005-0000-0000-00000B000000}"/>
    <cellStyle name="Mon?aire [0]_AR1194" xfId="9" xr:uid="{00000000-0005-0000-0000-00000C000000}"/>
    <cellStyle name="Mon?aire_AR1194" xfId="10" xr:uid="{00000000-0005-0000-0000-00000D000000}"/>
    <cellStyle name="Normal - Style1" xfId="11" xr:uid="{00000000-0005-0000-0000-00000E000000}"/>
    <cellStyle name="Normal_495ALL" xfId="12" xr:uid="{00000000-0005-0000-0000-00000F000000}"/>
    <cellStyle name="Percent [2]" xfId="13" xr:uid="{00000000-0005-0000-0000-000010000000}"/>
    <cellStyle name="PERCENTAGE" xfId="14" xr:uid="{00000000-0005-0000-0000-000011000000}"/>
    <cellStyle name="백분율 2" xfId="59" xr:uid="{00000000-0005-0000-0000-000012000000}"/>
    <cellStyle name="백분율 3" xfId="60" xr:uid="{00000000-0005-0000-0000-000013000000}"/>
    <cellStyle name="백분율 4" xfId="58" xr:uid="{00000000-0005-0000-0000-000014000000}"/>
    <cellStyle name="쉼표 [0]" xfId="15" builtinId="6"/>
    <cellStyle name="쉼표 [0] 2" xfId="20" xr:uid="{00000000-0005-0000-0000-000016000000}"/>
    <cellStyle name="쉼표 [0] 2 2" xfId="62" xr:uid="{00000000-0005-0000-0000-000017000000}"/>
    <cellStyle name="쉼표 [0] 3" xfId="23" xr:uid="{00000000-0005-0000-0000-000018000000}"/>
    <cellStyle name="쉼표 [0] 3 2" xfId="33" xr:uid="{00000000-0005-0000-0000-000019000000}"/>
    <cellStyle name="쉼표 [0] 3 3" xfId="63" xr:uid="{00000000-0005-0000-0000-00001A000000}"/>
    <cellStyle name="쉼표 [0] 4" xfId="40" xr:uid="{00000000-0005-0000-0000-00001B000000}"/>
    <cellStyle name="쉼표 [0] 5" xfId="56" xr:uid="{00000000-0005-0000-0000-00001C000000}"/>
    <cellStyle name="쉼표 [0] 5 2" xfId="102" xr:uid="{00000000-0005-0000-0000-00001D000000}"/>
    <cellStyle name="쉼표 [0] 5 2 2" xfId="297" xr:uid="{00000000-0005-0000-0000-00001E000000}"/>
    <cellStyle name="쉼표 [0] 5 2 3" xfId="232" xr:uid="{00000000-0005-0000-0000-00001F000000}"/>
    <cellStyle name="쉼표 [0] 5 2 4" xfId="167" xr:uid="{00000000-0005-0000-0000-000020000000}"/>
    <cellStyle name="쉼표 [0] 5 3" xfId="265" xr:uid="{00000000-0005-0000-0000-000021000000}"/>
    <cellStyle name="쉼표 [0] 5 4" xfId="200" xr:uid="{00000000-0005-0000-0000-000022000000}"/>
    <cellStyle name="쉼표 [0] 5 5" xfId="135" xr:uid="{00000000-0005-0000-0000-000023000000}"/>
    <cellStyle name="쉼표 [0] 6" xfId="61" xr:uid="{00000000-0005-0000-0000-000024000000}"/>
    <cellStyle name="표준" xfId="0" builtinId="0"/>
    <cellStyle name="표준 2" xfId="19" xr:uid="{00000000-0005-0000-0000-000026000000}"/>
    <cellStyle name="표준 2 2" xfId="64" xr:uid="{00000000-0005-0000-0000-000027000000}"/>
    <cellStyle name="표준 3" xfId="18" xr:uid="{00000000-0005-0000-0000-000028000000}"/>
    <cellStyle name="표준 3 10" xfId="71" xr:uid="{00000000-0005-0000-0000-000029000000}"/>
    <cellStyle name="표준 3 10 2" xfId="266" xr:uid="{00000000-0005-0000-0000-00002A000000}"/>
    <cellStyle name="표준 3 10 3" xfId="201" xr:uid="{00000000-0005-0000-0000-00002B000000}"/>
    <cellStyle name="표준 3 10 4" xfId="136" xr:uid="{00000000-0005-0000-0000-00002C000000}"/>
    <cellStyle name="표준 3 11" xfId="234" xr:uid="{00000000-0005-0000-0000-00002D000000}"/>
    <cellStyle name="표준 3 12" xfId="169" xr:uid="{00000000-0005-0000-0000-00002E000000}"/>
    <cellStyle name="표준 3 13" xfId="104" xr:uid="{00000000-0005-0000-0000-00002F000000}"/>
    <cellStyle name="표준 3 2" xfId="21" xr:uid="{00000000-0005-0000-0000-000030000000}"/>
    <cellStyle name="표준 3 2 10" xfId="105" xr:uid="{00000000-0005-0000-0000-000031000000}"/>
    <cellStyle name="표준 3 2 2" xfId="29" xr:uid="{00000000-0005-0000-0000-000032000000}"/>
    <cellStyle name="표준 3 2 2 2" xfId="39" xr:uid="{00000000-0005-0000-0000-000033000000}"/>
    <cellStyle name="표준 3 2 2 2 2" xfId="55" xr:uid="{00000000-0005-0000-0000-000034000000}"/>
    <cellStyle name="표준 3 2 2 2 2 2" xfId="101" xr:uid="{00000000-0005-0000-0000-000035000000}"/>
    <cellStyle name="표준 3 2 2 2 2 2 2" xfId="296" xr:uid="{00000000-0005-0000-0000-000036000000}"/>
    <cellStyle name="표준 3 2 2 2 2 2 3" xfId="231" xr:uid="{00000000-0005-0000-0000-000037000000}"/>
    <cellStyle name="표준 3 2 2 2 2 2 4" xfId="166" xr:uid="{00000000-0005-0000-0000-000038000000}"/>
    <cellStyle name="표준 3 2 2 2 2 3" xfId="264" xr:uid="{00000000-0005-0000-0000-000039000000}"/>
    <cellStyle name="표준 3 2 2 2 2 4" xfId="199" xr:uid="{00000000-0005-0000-0000-00003A000000}"/>
    <cellStyle name="표준 3 2 2 2 2 5" xfId="134" xr:uid="{00000000-0005-0000-0000-00003B000000}"/>
    <cellStyle name="표준 3 2 2 2 3" xfId="86" xr:uid="{00000000-0005-0000-0000-00003C000000}"/>
    <cellStyle name="표준 3 2 2 2 3 2" xfId="281" xr:uid="{00000000-0005-0000-0000-00003D000000}"/>
    <cellStyle name="표준 3 2 2 2 3 3" xfId="216" xr:uid="{00000000-0005-0000-0000-00003E000000}"/>
    <cellStyle name="표준 3 2 2 2 3 4" xfId="151" xr:uid="{00000000-0005-0000-0000-00003F000000}"/>
    <cellStyle name="표준 3 2 2 2 4" xfId="249" xr:uid="{00000000-0005-0000-0000-000040000000}"/>
    <cellStyle name="표준 3 2 2 2 5" xfId="184" xr:uid="{00000000-0005-0000-0000-000041000000}"/>
    <cellStyle name="표준 3 2 2 2 6" xfId="119" xr:uid="{00000000-0005-0000-0000-000042000000}"/>
    <cellStyle name="표준 3 2 2 3" xfId="47" xr:uid="{00000000-0005-0000-0000-000043000000}"/>
    <cellStyle name="표준 3 2 2 3 2" xfId="93" xr:uid="{00000000-0005-0000-0000-000044000000}"/>
    <cellStyle name="표준 3 2 2 3 2 2" xfId="288" xr:uid="{00000000-0005-0000-0000-000045000000}"/>
    <cellStyle name="표준 3 2 2 3 2 3" xfId="223" xr:uid="{00000000-0005-0000-0000-000046000000}"/>
    <cellStyle name="표준 3 2 2 3 2 4" xfId="158" xr:uid="{00000000-0005-0000-0000-000047000000}"/>
    <cellStyle name="표준 3 2 2 3 3" xfId="256" xr:uid="{00000000-0005-0000-0000-000048000000}"/>
    <cellStyle name="표준 3 2 2 3 4" xfId="191" xr:uid="{00000000-0005-0000-0000-000049000000}"/>
    <cellStyle name="표준 3 2 2 3 5" xfId="126" xr:uid="{00000000-0005-0000-0000-00004A000000}"/>
    <cellStyle name="표준 3 2 2 4" xfId="78" xr:uid="{00000000-0005-0000-0000-00004B000000}"/>
    <cellStyle name="표준 3 2 2 4 2" xfId="273" xr:uid="{00000000-0005-0000-0000-00004C000000}"/>
    <cellStyle name="표준 3 2 2 4 3" xfId="208" xr:uid="{00000000-0005-0000-0000-00004D000000}"/>
    <cellStyle name="표준 3 2 2 4 4" xfId="143" xr:uid="{00000000-0005-0000-0000-00004E000000}"/>
    <cellStyle name="표준 3 2 2 5" xfId="241" xr:uid="{00000000-0005-0000-0000-00004F000000}"/>
    <cellStyle name="표준 3 2 2 6" xfId="176" xr:uid="{00000000-0005-0000-0000-000050000000}"/>
    <cellStyle name="표준 3 2 2 7" xfId="111" xr:uid="{00000000-0005-0000-0000-000051000000}"/>
    <cellStyle name="표준 3 2 3" xfId="27" xr:uid="{00000000-0005-0000-0000-000052000000}"/>
    <cellStyle name="표준 3 2 3 2" xfId="37" xr:uid="{00000000-0005-0000-0000-000053000000}"/>
    <cellStyle name="표준 3 2 3 2 2" xfId="53" xr:uid="{00000000-0005-0000-0000-000054000000}"/>
    <cellStyle name="표준 3 2 3 2 2 2" xfId="99" xr:uid="{00000000-0005-0000-0000-000055000000}"/>
    <cellStyle name="표준 3 2 3 2 2 2 2" xfId="294" xr:uid="{00000000-0005-0000-0000-000056000000}"/>
    <cellStyle name="표준 3 2 3 2 2 2 3" xfId="229" xr:uid="{00000000-0005-0000-0000-000057000000}"/>
    <cellStyle name="표준 3 2 3 2 2 2 4" xfId="164" xr:uid="{00000000-0005-0000-0000-000058000000}"/>
    <cellStyle name="표준 3 2 3 2 2 3" xfId="262" xr:uid="{00000000-0005-0000-0000-000059000000}"/>
    <cellStyle name="표준 3 2 3 2 2 4" xfId="197" xr:uid="{00000000-0005-0000-0000-00005A000000}"/>
    <cellStyle name="표준 3 2 3 2 2 5" xfId="132" xr:uid="{00000000-0005-0000-0000-00005B000000}"/>
    <cellStyle name="표준 3 2 3 2 3" xfId="84" xr:uid="{00000000-0005-0000-0000-00005C000000}"/>
    <cellStyle name="표준 3 2 3 2 3 2" xfId="279" xr:uid="{00000000-0005-0000-0000-00005D000000}"/>
    <cellStyle name="표준 3 2 3 2 3 3" xfId="214" xr:uid="{00000000-0005-0000-0000-00005E000000}"/>
    <cellStyle name="표준 3 2 3 2 3 4" xfId="149" xr:uid="{00000000-0005-0000-0000-00005F000000}"/>
    <cellStyle name="표준 3 2 3 2 4" xfId="247" xr:uid="{00000000-0005-0000-0000-000060000000}"/>
    <cellStyle name="표준 3 2 3 2 5" xfId="182" xr:uid="{00000000-0005-0000-0000-000061000000}"/>
    <cellStyle name="표준 3 2 3 2 6" xfId="117" xr:uid="{00000000-0005-0000-0000-000062000000}"/>
    <cellStyle name="표준 3 2 3 3" xfId="45" xr:uid="{00000000-0005-0000-0000-000063000000}"/>
    <cellStyle name="표준 3 2 3 3 2" xfId="91" xr:uid="{00000000-0005-0000-0000-000064000000}"/>
    <cellStyle name="표준 3 2 3 3 2 2" xfId="286" xr:uid="{00000000-0005-0000-0000-000065000000}"/>
    <cellStyle name="표준 3 2 3 3 2 3" xfId="221" xr:uid="{00000000-0005-0000-0000-000066000000}"/>
    <cellStyle name="표준 3 2 3 3 2 4" xfId="156" xr:uid="{00000000-0005-0000-0000-000067000000}"/>
    <cellStyle name="표준 3 2 3 3 3" xfId="254" xr:uid="{00000000-0005-0000-0000-000068000000}"/>
    <cellStyle name="표준 3 2 3 3 4" xfId="189" xr:uid="{00000000-0005-0000-0000-000069000000}"/>
    <cellStyle name="표준 3 2 3 3 5" xfId="124" xr:uid="{00000000-0005-0000-0000-00006A000000}"/>
    <cellStyle name="표준 3 2 3 4" xfId="76" xr:uid="{00000000-0005-0000-0000-00006B000000}"/>
    <cellStyle name="표준 3 2 3 4 2" xfId="271" xr:uid="{00000000-0005-0000-0000-00006C000000}"/>
    <cellStyle name="표준 3 2 3 4 3" xfId="206" xr:uid="{00000000-0005-0000-0000-00006D000000}"/>
    <cellStyle name="표준 3 2 3 4 4" xfId="141" xr:uid="{00000000-0005-0000-0000-00006E000000}"/>
    <cellStyle name="표준 3 2 3 5" xfId="239" xr:uid="{00000000-0005-0000-0000-00006F000000}"/>
    <cellStyle name="표준 3 2 3 6" xfId="174" xr:uid="{00000000-0005-0000-0000-000070000000}"/>
    <cellStyle name="표준 3 2 3 7" xfId="109" xr:uid="{00000000-0005-0000-0000-000071000000}"/>
    <cellStyle name="표준 3 2 4" xfId="35" xr:uid="{00000000-0005-0000-0000-000072000000}"/>
    <cellStyle name="표준 3 2 4 2" xfId="51" xr:uid="{00000000-0005-0000-0000-000073000000}"/>
    <cellStyle name="표준 3 2 4 2 2" xfId="97" xr:uid="{00000000-0005-0000-0000-000074000000}"/>
    <cellStyle name="표준 3 2 4 2 2 2" xfId="292" xr:uid="{00000000-0005-0000-0000-000075000000}"/>
    <cellStyle name="표준 3 2 4 2 2 3" xfId="227" xr:uid="{00000000-0005-0000-0000-000076000000}"/>
    <cellStyle name="표준 3 2 4 2 2 4" xfId="162" xr:uid="{00000000-0005-0000-0000-000077000000}"/>
    <cellStyle name="표준 3 2 4 2 3" xfId="260" xr:uid="{00000000-0005-0000-0000-000078000000}"/>
    <cellStyle name="표준 3 2 4 2 4" xfId="195" xr:uid="{00000000-0005-0000-0000-000079000000}"/>
    <cellStyle name="표준 3 2 4 2 5" xfId="130" xr:uid="{00000000-0005-0000-0000-00007A000000}"/>
    <cellStyle name="표준 3 2 4 3" xfId="82" xr:uid="{00000000-0005-0000-0000-00007B000000}"/>
    <cellStyle name="표준 3 2 4 3 2" xfId="277" xr:uid="{00000000-0005-0000-0000-00007C000000}"/>
    <cellStyle name="표준 3 2 4 3 3" xfId="212" xr:uid="{00000000-0005-0000-0000-00007D000000}"/>
    <cellStyle name="표준 3 2 4 3 4" xfId="147" xr:uid="{00000000-0005-0000-0000-00007E000000}"/>
    <cellStyle name="표준 3 2 4 4" xfId="245" xr:uid="{00000000-0005-0000-0000-00007F000000}"/>
    <cellStyle name="표준 3 2 4 5" xfId="180" xr:uid="{00000000-0005-0000-0000-000080000000}"/>
    <cellStyle name="표준 3 2 4 6" xfId="115" xr:uid="{00000000-0005-0000-0000-000081000000}"/>
    <cellStyle name="표준 3 2 5" xfId="43" xr:uid="{00000000-0005-0000-0000-000082000000}"/>
    <cellStyle name="표준 3 2 5 2" xfId="89" xr:uid="{00000000-0005-0000-0000-000083000000}"/>
    <cellStyle name="표준 3 2 5 2 2" xfId="284" xr:uid="{00000000-0005-0000-0000-000084000000}"/>
    <cellStyle name="표준 3 2 5 2 3" xfId="219" xr:uid="{00000000-0005-0000-0000-000085000000}"/>
    <cellStyle name="표준 3 2 5 2 4" xfId="154" xr:uid="{00000000-0005-0000-0000-000086000000}"/>
    <cellStyle name="표준 3 2 5 3" xfId="252" xr:uid="{00000000-0005-0000-0000-000087000000}"/>
    <cellStyle name="표준 3 2 5 4" xfId="187" xr:uid="{00000000-0005-0000-0000-000088000000}"/>
    <cellStyle name="표준 3 2 5 5" xfId="122" xr:uid="{00000000-0005-0000-0000-000089000000}"/>
    <cellStyle name="표준 3 2 6" xfId="25" xr:uid="{00000000-0005-0000-0000-00008A000000}"/>
    <cellStyle name="표준 3 2 6 2" xfId="74" xr:uid="{00000000-0005-0000-0000-00008B000000}"/>
    <cellStyle name="표준 3 2 6 2 2" xfId="269" xr:uid="{00000000-0005-0000-0000-00008C000000}"/>
    <cellStyle name="표준 3 2 6 2 3" xfId="204" xr:uid="{00000000-0005-0000-0000-00008D000000}"/>
    <cellStyle name="표준 3 2 6 2 4" xfId="139" xr:uid="{00000000-0005-0000-0000-00008E000000}"/>
    <cellStyle name="표준 3 2 6 3" xfId="237" xr:uid="{00000000-0005-0000-0000-00008F000000}"/>
    <cellStyle name="표준 3 2 6 4" xfId="172" xr:uid="{00000000-0005-0000-0000-000090000000}"/>
    <cellStyle name="표준 3 2 6 5" xfId="107" xr:uid="{00000000-0005-0000-0000-000091000000}"/>
    <cellStyle name="표준 3 2 7" xfId="72" xr:uid="{00000000-0005-0000-0000-000092000000}"/>
    <cellStyle name="표준 3 2 7 2" xfId="267" xr:uid="{00000000-0005-0000-0000-000093000000}"/>
    <cellStyle name="표준 3 2 7 3" xfId="202" xr:uid="{00000000-0005-0000-0000-000094000000}"/>
    <cellStyle name="표준 3 2 7 4" xfId="137" xr:uid="{00000000-0005-0000-0000-000095000000}"/>
    <cellStyle name="표준 3 2 8" xfId="235" xr:uid="{00000000-0005-0000-0000-000096000000}"/>
    <cellStyle name="표준 3 2 9" xfId="170" xr:uid="{00000000-0005-0000-0000-000097000000}"/>
    <cellStyle name="표준 3 3" xfId="28" xr:uid="{00000000-0005-0000-0000-000098000000}"/>
    <cellStyle name="표준 3 3 2" xfId="38" xr:uid="{00000000-0005-0000-0000-000099000000}"/>
    <cellStyle name="표준 3 3 2 2" xfId="54" xr:uid="{00000000-0005-0000-0000-00009A000000}"/>
    <cellStyle name="표준 3 3 2 2 2" xfId="100" xr:uid="{00000000-0005-0000-0000-00009B000000}"/>
    <cellStyle name="표준 3 3 2 2 2 2" xfId="295" xr:uid="{00000000-0005-0000-0000-00009C000000}"/>
    <cellStyle name="표준 3 3 2 2 2 3" xfId="230" xr:uid="{00000000-0005-0000-0000-00009D000000}"/>
    <cellStyle name="표준 3 3 2 2 2 4" xfId="165" xr:uid="{00000000-0005-0000-0000-00009E000000}"/>
    <cellStyle name="표준 3 3 2 2 3" xfId="263" xr:uid="{00000000-0005-0000-0000-00009F000000}"/>
    <cellStyle name="표준 3 3 2 2 4" xfId="198" xr:uid="{00000000-0005-0000-0000-0000A0000000}"/>
    <cellStyle name="표준 3 3 2 2 5" xfId="133" xr:uid="{00000000-0005-0000-0000-0000A1000000}"/>
    <cellStyle name="표준 3 3 2 3" xfId="85" xr:uid="{00000000-0005-0000-0000-0000A2000000}"/>
    <cellStyle name="표준 3 3 2 3 2" xfId="280" xr:uid="{00000000-0005-0000-0000-0000A3000000}"/>
    <cellStyle name="표준 3 3 2 3 3" xfId="215" xr:uid="{00000000-0005-0000-0000-0000A4000000}"/>
    <cellStyle name="표준 3 3 2 3 4" xfId="150" xr:uid="{00000000-0005-0000-0000-0000A5000000}"/>
    <cellStyle name="표준 3 3 2 4" xfId="248" xr:uid="{00000000-0005-0000-0000-0000A6000000}"/>
    <cellStyle name="표준 3 3 2 5" xfId="183" xr:uid="{00000000-0005-0000-0000-0000A7000000}"/>
    <cellStyle name="표준 3 3 2 6" xfId="118" xr:uid="{00000000-0005-0000-0000-0000A8000000}"/>
    <cellStyle name="표준 3 3 3" xfId="46" xr:uid="{00000000-0005-0000-0000-0000A9000000}"/>
    <cellStyle name="표준 3 3 3 2" xfId="92" xr:uid="{00000000-0005-0000-0000-0000AA000000}"/>
    <cellStyle name="표준 3 3 3 2 2" xfId="287" xr:uid="{00000000-0005-0000-0000-0000AB000000}"/>
    <cellStyle name="표준 3 3 3 2 3" xfId="222" xr:uid="{00000000-0005-0000-0000-0000AC000000}"/>
    <cellStyle name="표준 3 3 3 2 4" xfId="157" xr:uid="{00000000-0005-0000-0000-0000AD000000}"/>
    <cellStyle name="표준 3 3 3 3" xfId="255" xr:uid="{00000000-0005-0000-0000-0000AE000000}"/>
    <cellStyle name="표준 3 3 3 4" xfId="190" xr:uid="{00000000-0005-0000-0000-0000AF000000}"/>
    <cellStyle name="표준 3 3 3 5" xfId="125" xr:uid="{00000000-0005-0000-0000-0000B0000000}"/>
    <cellStyle name="표준 3 3 4" xfId="77" xr:uid="{00000000-0005-0000-0000-0000B1000000}"/>
    <cellStyle name="표준 3 3 4 2" xfId="272" xr:uid="{00000000-0005-0000-0000-0000B2000000}"/>
    <cellStyle name="표준 3 3 4 3" xfId="207" xr:uid="{00000000-0005-0000-0000-0000B3000000}"/>
    <cellStyle name="표준 3 3 4 4" xfId="142" xr:uid="{00000000-0005-0000-0000-0000B4000000}"/>
    <cellStyle name="표준 3 3 5" xfId="240" xr:uid="{00000000-0005-0000-0000-0000B5000000}"/>
    <cellStyle name="표준 3 3 6" xfId="175" xr:uid="{00000000-0005-0000-0000-0000B6000000}"/>
    <cellStyle name="표준 3 3 7" xfId="110" xr:uid="{00000000-0005-0000-0000-0000B7000000}"/>
    <cellStyle name="표준 3 4" xfId="26" xr:uid="{00000000-0005-0000-0000-0000B8000000}"/>
    <cellStyle name="표준 3 4 2" xfId="36" xr:uid="{00000000-0005-0000-0000-0000B9000000}"/>
    <cellStyle name="표준 3 4 2 2" xfId="52" xr:uid="{00000000-0005-0000-0000-0000BA000000}"/>
    <cellStyle name="표준 3 4 2 2 2" xfId="98" xr:uid="{00000000-0005-0000-0000-0000BB000000}"/>
    <cellStyle name="표준 3 4 2 2 2 2" xfId="293" xr:uid="{00000000-0005-0000-0000-0000BC000000}"/>
    <cellStyle name="표준 3 4 2 2 2 3" xfId="228" xr:uid="{00000000-0005-0000-0000-0000BD000000}"/>
    <cellStyle name="표준 3 4 2 2 2 4" xfId="163" xr:uid="{00000000-0005-0000-0000-0000BE000000}"/>
    <cellStyle name="표준 3 4 2 2 3" xfId="261" xr:uid="{00000000-0005-0000-0000-0000BF000000}"/>
    <cellStyle name="표준 3 4 2 2 4" xfId="196" xr:uid="{00000000-0005-0000-0000-0000C0000000}"/>
    <cellStyle name="표준 3 4 2 2 5" xfId="131" xr:uid="{00000000-0005-0000-0000-0000C1000000}"/>
    <cellStyle name="표준 3 4 2 3" xfId="83" xr:uid="{00000000-0005-0000-0000-0000C2000000}"/>
    <cellStyle name="표준 3 4 2 3 2" xfId="278" xr:uid="{00000000-0005-0000-0000-0000C3000000}"/>
    <cellStyle name="표준 3 4 2 3 3" xfId="213" xr:uid="{00000000-0005-0000-0000-0000C4000000}"/>
    <cellStyle name="표준 3 4 2 3 4" xfId="148" xr:uid="{00000000-0005-0000-0000-0000C5000000}"/>
    <cellStyle name="표준 3 4 2 4" xfId="246" xr:uid="{00000000-0005-0000-0000-0000C6000000}"/>
    <cellStyle name="표준 3 4 2 5" xfId="181" xr:uid="{00000000-0005-0000-0000-0000C7000000}"/>
    <cellStyle name="표준 3 4 2 6" xfId="116" xr:uid="{00000000-0005-0000-0000-0000C8000000}"/>
    <cellStyle name="표준 3 4 3" xfId="44" xr:uid="{00000000-0005-0000-0000-0000C9000000}"/>
    <cellStyle name="표준 3 4 3 2" xfId="90" xr:uid="{00000000-0005-0000-0000-0000CA000000}"/>
    <cellStyle name="표준 3 4 3 2 2" xfId="285" xr:uid="{00000000-0005-0000-0000-0000CB000000}"/>
    <cellStyle name="표준 3 4 3 2 3" xfId="220" xr:uid="{00000000-0005-0000-0000-0000CC000000}"/>
    <cellStyle name="표준 3 4 3 2 4" xfId="155" xr:uid="{00000000-0005-0000-0000-0000CD000000}"/>
    <cellStyle name="표준 3 4 3 3" xfId="253" xr:uid="{00000000-0005-0000-0000-0000CE000000}"/>
    <cellStyle name="표준 3 4 3 4" xfId="188" xr:uid="{00000000-0005-0000-0000-0000CF000000}"/>
    <cellStyle name="표준 3 4 3 5" xfId="123" xr:uid="{00000000-0005-0000-0000-0000D0000000}"/>
    <cellStyle name="표준 3 4 4" xfId="75" xr:uid="{00000000-0005-0000-0000-0000D1000000}"/>
    <cellStyle name="표준 3 4 4 2" xfId="270" xr:uid="{00000000-0005-0000-0000-0000D2000000}"/>
    <cellStyle name="표준 3 4 4 3" xfId="205" xr:uid="{00000000-0005-0000-0000-0000D3000000}"/>
    <cellStyle name="표준 3 4 4 4" xfId="140" xr:uid="{00000000-0005-0000-0000-0000D4000000}"/>
    <cellStyle name="표준 3 4 5" xfId="238" xr:uid="{00000000-0005-0000-0000-0000D5000000}"/>
    <cellStyle name="표준 3 4 6" xfId="173" xr:uid="{00000000-0005-0000-0000-0000D6000000}"/>
    <cellStyle name="표준 3 4 7" xfId="108" xr:uid="{00000000-0005-0000-0000-0000D7000000}"/>
    <cellStyle name="표준 3 5" xfId="30" xr:uid="{00000000-0005-0000-0000-0000D8000000}"/>
    <cellStyle name="표준 3 5 2" xfId="48" xr:uid="{00000000-0005-0000-0000-0000D9000000}"/>
    <cellStyle name="표준 3 5 2 2" xfId="94" xr:uid="{00000000-0005-0000-0000-0000DA000000}"/>
    <cellStyle name="표준 3 5 2 2 2" xfId="289" xr:uid="{00000000-0005-0000-0000-0000DB000000}"/>
    <cellStyle name="표준 3 5 2 2 3" xfId="224" xr:uid="{00000000-0005-0000-0000-0000DC000000}"/>
    <cellStyle name="표준 3 5 2 2 4" xfId="159" xr:uid="{00000000-0005-0000-0000-0000DD000000}"/>
    <cellStyle name="표준 3 5 2 3" xfId="257" xr:uid="{00000000-0005-0000-0000-0000DE000000}"/>
    <cellStyle name="표준 3 5 2 4" xfId="192" xr:uid="{00000000-0005-0000-0000-0000DF000000}"/>
    <cellStyle name="표준 3 5 2 5" xfId="127" xr:uid="{00000000-0005-0000-0000-0000E0000000}"/>
    <cellStyle name="표준 3 5 3" xfId="79" xr:uid="{00000000-0005-0000-0000-0000E1000000}"/>
    <cellStyle name="표준 3 5 3 2" xfId="274" xr:uid="{00000000-0005-0000-0000-0000E2000000}"/>
    <cellStyle name="표준 3 5 3 3" xfId="209" xr:uid="{00000000-0005-0000-0000-0000E3000000}"/>
    <cellStyle name="표준 3 5 3 4" xfId="144" xr:uid="{00000000-0005-0000-0000-0000E4000000}"/>
    <cellStyle name="표준 3 5 4" xfId="242" xr:uid="{00000000-0005-0000-0000-0000E5000000}"/>
    <cellStyle name="표준 3 5 5" xfId="177" xr:uid="{00000000-0005-0000-0000-0000E6000000}"/>
    <cellStyle name="표준 3 5 6" xfId="112" xr:uid="{00000000-0005-0000-0000-0000E7000000}"/>
    <cellStyle name="표준 3 6" xfId="34" xr:uid="{00000000-0005-0000-0000-0000E8000000}"/>
    <cellStyle name="표준 3 6 2" xfId="50" xr:uid="{00000000-0005-0000-0000-0000E9000000}"/>
    <cellStyle name="표준 3 6 2 2" xfId="96" xr:uid="{00000000-0005-0000-0000-0000EA000000}"/>
    <cellStyle name="표준 3 6 2 2 2" xfId="291" xr:uid="{00000000-0005-0000-0000-0000EB000000}"/>
    <cellStyle name="표준 3 6 2 2 3" xfId="226" xr:uid="{00000000-0005-0000-0000-0000EC000000}"/>
    <cellStyle name="표준 3 6 2 2 4" xfId="161" xr:uid="{00000000-0005-0000-0000-0000ED000000}"/>
    <cellStyle name="표준 3 6 2 3" xfId="259" xr:uid="{00000000-0005-0000-0000-0000EE000000}"/>
    <cellStyle name="표준 3 6 2 4" xfId="194" xr:uid="{00000000-0005-0000-0000-0000EF000000}"/>
    <cellStyle name="표준 3 6 2 5" xfId="129" xr:uid="{00000000-0005-0000-0000-0000F0000000}"/>
    <cellStyle name="표준 3 6 3" xfId="81" xr:uid="{00000000-0005-0000-0000-0000F1000000}"/>
    <cellStyle name="표준 3 6 3 2" xfId="276" xr:uid="{00000000-0005-0000-0000-0000F2000000}"/>
    <cellStyle name="표준 3 6 3 3" xfId="211" xr:uid="{00000000-0005-0000-0000-0000F3000000}"/>
    <cellStyle name="표준 3 6 3 4" xfId="146" xr:uid="{00000000-0005-0000-0000-0000F4000000}"/>
    <cellStyle name="표준 3 6 4" xfId="244" xr:uid="{00000000-0005-0000-0000-0000F5000000}"/>
    <cellStyle name="표준 3 6 5" xfId="179" xr:uid="{00000000-0005-0000-0000-0000F6000000}"/>
    <cellStyle name="표준 3 6 6" xfId="114" xr:uid="{00000000-0005-0000-0000-0000F7000000}"/>
    <cellStyle name="표준 3 7" xfId="42" xr:uid="{00000000-0005-0000-0000-0000F8000000}"/>
    <cellStyle name="표준 3 7 2" xfId="88" xr:uid="{00000000-0005-0000-0000-0000F9000000}"/>
    <cellStyle name="표준 3 7 2 2" xfId="283" xr:uid="{00000000-0005-0000-0000-0000FA000000}"/>
    <cellStyle name="표준 3 7 2 3" xfId="218" xr:uid="{00000000-0005-0000-0000-0000FB000000}"/>
    <cellStyle name="표준 3 7 2 4" xfId="153" xr:uid="{00000000-0005-0000-0000-0000FC000000}"/>
    <cellStyle name="표준 3 7 3" xfId="251" xr:uid="{00000000-0005-0000-0000-0000FD000000}"/>
    <cellStyle name="표준 3 7 4" xfId="186" xr:uid="{00000000-0005-0000-0000-0000FE000000}"/>
    <cellStyle name="표준 3 7 5" xfId="121" xr:uid="{00000000-0005-0000-0000-0000FF000000}"/>
    <cellStyle name="표준 3 8" xfId="24" xr:uid="{00000000-0005-0000-0000-000000010000}"/>
    <cellStyle name="표준 3 8 2" xfId="73" xr:uid="{00000000-0005-0000-0000-000001010000}"/>
    <cellStyle name="표준 3 8 2 2" xfId="268" xr:uid="{00000000-0005-0000-0000-000002010000}"/>
    <cellStyle name="표준 3 8 2 3" xfId="203" xr:uid="{00000000-0005-0000-0000-000003010000}"/>
    <cellStyle name="표준 3 8 2 4" xfId="138" xr:uid="{00000000-0005-0000-0000-000004010000}"/>
    <cellStyle name="표준 3 8 3" xfId="236" xr:uid="{00000000-0005-0000-0000-000005010000}"/>
    <cellStyle name="표준 3 8 4" xfId="171" xr:uid="{00000000-0005-0000-0000-000006010000}"/>
    <cellStyle name="표준 3 8 5" xfId="106" xr:uid="{00000000-0005-0000-0000-000007010000}"/>
    <cellStyle name="표준 3 9" xfId="65" xr:uid="{00000000-0005-0000-0000-000008010000}"/>
    <cellStyle name="표준 4" xfId="22" xr:uid="{00000000-0005-0000-0000-000009010000}"/>
    <cellStyle name="표준 4 2" xfId="66" xr:uid="{00000000-0005-0000-0000-00000A010000}"/>
    <cellStyle name="표준 5" xfId="32" xr:uid="{00000000-0005-0000-0000-00000B010000}"/>
    <cellStyle name="표준 5 2" xfId="67" xr:uid="{00000000-0005-0000-0000-00000C010000}"/>
    <cellStyle name="표준 6" xfId="31" xr:uid="{00000000-0005-0000-0000-00000D010000}"/>
    <cellStyle name="표준 6 2" xfId="49" xr:uid="{00000000-0005-0000-0000-00000E010000}"/>
    <cellStyle name="표준 6 2 2" xfId="95" xr:uid="{00000000-0005-0000-0000-00000F010000}"/>
    <cellStyle name="표준 6 2 2 2" xfId="290" xr:uid="{00000000-0005-0000-0000-000010010000}"/>
    <cellStyle name="표준 6 2 2 3" xfId="225" xr:uid="{00000000-0005-0000-0000-000011010000}"/>
    <cellStyle name="표준 6 2 2 4" xfId="160" xr:uid="{00000000-0005-0000-0000-000012010000}"/>
    <cellStyle name="표준 6 2 3" xfId="258" xr:uid="{00000000-0005-0000-0000-000013010000}"/>
    <cellStyle name="표준 6 2 4" xfId="193" xr:uid="{00000000-0005-0000-0000-000014010000}"/>
    <cellStyle name="표준 6 2 5" xfId="128" xr:uid="{00000000-0005-0000-0000-000015010000}"/>
    <cellStyle name="표준 6 3" xfId="68" xr:uid="{00000000-0005-0000-0000-000016010000}"/>
    <cellStyle name="표준 6 4" xfId="80" xr:uid="{00000000-0005-0000-0000-000017010000}"/>
    <cellStyle name="표준 6 4 2" xfId="275" xr:uid="{00000000-0005-0000-0000-000018010000}"/>
    <cellStyle name="표준 6 4 3" xfId="210" xr:uid="{00000000-0005-0000-0000-000019010000}"/>
    <cellStyle name="표준 6 4 4" xfId="145" xr:uid="{00000000-0005-0000-0000-00001A010000}"/>
    <cellStyle name="표준 6 5" xfId="243" xr:uid="{00000000-0005-0000-0000-00001B010000}"/>
    <cellStyle name="표준 6 6" xfId="178" xr:uid="{00000000-0005-0000-0000-00001C010000}"/>
    <cellStyle name="표준 6 7" xfId="113" xr:uid="{00000000-0005-0000-0000-00001D010000}"/>
    <cellStyle name="표준 7" xfId="41" xr:uid="{00000000-0005-0000-0000-00001E010000}"/>
    <cellStyle name="표준 7 2" xfId="69" xr:uid="{00000000-0005-0000-0000-00001F010000}"/>
    <cellStyle name="표준 7 3" xfId="87" xr:uid="{00000000-0005-0000-0000-000020010000}"/>
    <cellStyle name="표준 7 3 2" xfId="282" xr:uid="{00000000-0005-0000-0000-000021010000}"/>
    <cellStyle name="표준 7 3 3" xfId="217" xr:uid="{00000000-0005-0000-0000-000022010000}"/>
    <cellStyle name="표준 7 3 4" xfId="152" xr:uid="{00000000-0005-0000-0000-000023010000}"/>
    <cellStyle name="표준 7 4" xfId="250" xr:uid="{00000000-0005-0000-0000-000024010000}"/>
    <cellStyle name="표준 7 5" xfId="185" xr:uid="{00000000-0005-0000-0000-000025010000}"/>
    <cellStyle name="표준 7 6" xfId="120" xr:uid="{00000000-0005-0000-0000-000026010000}"/>
    <cellStyle name="표준 8" xfId="70" xr:uid="{00000000-0005-0000-0000-000027010000}"/>
    <cellStyle name="표준 9" xfId="57" xr:uid="{00000000-0005-0000-0000-000028010000}"/>
    <cellStyle name="표준_2008년 03월 평택.당진항 항만운영통계" xfId="16" xr:uid="{00000000-0005-0000-0000-000029010000}"/>
    <cellStyle name="표준_부두별입출항 실적(03)" xfId="17" xr:uid="{00000000-0005-0000-0000-00002A010000}"/>
  </cellStyles>
  <dxfs count="0"/>
  <tableStyles count="0" defaultTableStyle="TableStyleMedium9" defaultPivotStyle="PivotStyleLight16"/>
  <colors>
    <mruColors>
      <color rgb="FF0000FF"/>
      <color rgb="FFCCFFCC"/>
      <color rgb="FF99FFCC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5071642942488"/>
          <c:y val="0.10236220472440972"/>
          <c:w val="0.74951971474536849"/>
          <c:h val="0.62204724409452195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수송실적'!$K$6:$P$6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2026.7.</c:v>
                </c:pt>
              </c:strCache>
            </c:strRef>
          </c:cat>
          <c:val>
            <c:numRef>
              <c:f>'연도별 수송실적'!$K$7:$P$7</c:f>
              <c:numCache>
                <c:formatCode>#,##0,</c:formatCode>
                <c:ptCount val="6"/>
                <c:pt idx="0">
                  <c:v>116876152</c:v>
                </c:pt>
                <c:pt idx="1">
                  <c:v>116171568</c:v>
                </c:pt>
                <c:pt idx="2">
                  <c:v>116607017</c:v>
                </c:pt>
                <c:pt idx="3">
                  <c:v>116714212</c:v>
                </c:pt>
                <c:pt idx="4">
                  <c:v>114971346</c:v>
                </c:pt>
                <c:pt idx="5">
                  <c:v>67067218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34-453A-8CBA-AAEDE759D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3446912"/>
        <c:axId val="223571328"/>
      </c:lineChart>
      <c:catAx>
        <c:axId val="223446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화물입출항 실적</a:t>
                </a:r>
              </a:p>
            </c:rich>
          </c:tx>
          <c:layout>
            <c:manualLayout>
              <c:xMode val="edge"/>
              <c:yMode val="edge"/>
              <c:x val="0.48362302134913548"/>
              <c:y val="0.877952961762132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357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357132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</a:t>
                </a:r>
                <a:r>
                  <a:rPr lang="en-US"/>
                  <a:t>:</a:t>
                </a:r>
                <a:r>
                  <a:rPr lang="ko-KR"/>
                  <a:t>천톤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2.06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6242714506047576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344691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17834531553121"/>
          <c:y val="0.12566179227596547"/>
          <c:w val="0.68998173328004464"/>
          <c:h val="0.63492309540512892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수송실적'!$C$9:$H$9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2026.7.</c:v>
                </c:pt>
              </c:strCache>
            </c:strRef>
          </c:cat>
          <c:val>
            <c:numRef>
              <c:f>'연도별 수송실적'!$C$10:$H$10</c:f>
              <c:numCache>
                <c:formatCode>_ * #,##0_ ;_ * \-#,##0_ ;_ * "-"_ ;_ @_ </c:formatCode>
                <c:ptCount val="6"/>
                <c:pt idx="0">
                  <c:v>936246</c:v>
                </c:pt>
                <c:pt idx="1">
                  <c:v>851953</c:v>
                </c:pt>
                <c:pt idx="2">
                  <c:v>820289</c:v>
                </c:pt>
                <c:pt idx="3">
                  <c:v>924735.5</c:v>
                </c:pt>
                <c:pt idx="4">
                  <c:v>956031</c:v>
                </c:pt>
                <c:pt idx="5">
                  <c:v>600863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EA-4263-8FD2-A370638DD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567232"/>
        <c:axId val="221569408"/>
      </c:lineChart>
      <c:catAx>
        <c:axId val="22156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컨테이너</a:t>
                </a:r>
              </a:p>
            </c:rich>
          </c:tx>
          <c:layout>
            <c:manualLayout>
              <c:xMode val="edge"/>
              <c:yMode val="edge"/>
              <c:x val="0.55765649739126733"/>
              <c:y val="0.8926455026455484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156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156940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TEU)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1.7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5.2929962702030674E-2"/>
              <c:y val="0.736587093280006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156723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291852820111876"/>
          <c:y val="0.11646632022747329"/>
          <c:w val="0.71011740610315865"/>
          <c:h val="0.62650848122364933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수송실적'!$K$9:$P$9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2026.7.</c:v>
                </c:pt>
              </c:strCache>
            </c:strRef>
          </c:cat>
          <c:val>
            <c:numRef>
              <c:f>'연도별 수송실적'!$K$10:$P$10</c:f>
              <c:numCache>
                <c:formatCode>_ * #,##0_ ;_ * \-#,##0_ ;_ * "-"_ ;_ @_ </c:formatCode>
                <c:ptCount val="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6E-493C-8F5F-56CB97617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003584"/>
        <c:axId val="222005504"/>
      </c:lineChart>
      <c:catAx>
        <c:axId val="222003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여 객</a:t>
                </a:r>
              </a:p>
            </c:rich>
          </c:tx>
          <c:layout>
            <c:manualLayout>
              <c:xMode val="edge"/>
              <c:yMode val="edge"/>
              <c:x val="0.56809424809424813"/>
              <c:y val="0.8875535958004983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0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00550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명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endParaRPr lang="en-US" altLang="ko-KR"/>
              </a:p>
              <a:p>
                <a:pPr>
                  <a:defRPr/>
                </a:pPr>
                <a:r>
                  <a:rPr lang="en-US" altLang="ko-KR"/>
                  <a:t>-0.07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280168721113934E-2"/>
              <c:y val="0.7334135433070865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03584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54784780343869"/>
          <c:y val="0.12706733923884511"/>
          <c:w val="0.75236364341221218"/>
          <c:h val="0.63492309540512948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수송실적'!$C$6:$H$6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2026.7.</c:v>
                </c:pt>
              </c:strCache>
            </c:strRef>
          </c:cat>
          <c:val>
            <c:numRef>
              <c:f>'연도별 수송실적'!$C$7:$H$7</c:f>
              <c:numCache>
                <c:formatCode>_ * #,##0_ ;_ * \-#,##0_ ;_ * "-"_ ;_ @_ </c:formatCode>
                <c:ptCount val="6"/>
                <c:pt idx="0">
                  <c:v>16473</c:v>
                </c:pt>
                <c:pt idx="1">
                  <c:v>16626</c:v>
                </c:pt>
                <c:pt idx="2">
                  <c:v>17324</c:v>
                </c:pt>
                <c:pt idx="3">
                  <c:v>17502</c:v>
                </c:pt>
                <c:pt idx="4">
                  <c:v>19574</c:v>
                </c:pt>
                <c:pt idx="5">
                  <c:v>10718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39-4935-B959-D16333445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021888"/>
        <c:axId val="222024064"/>
      </c:lineChart>
      <c:catAx>
        <c:axId val="222021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선박입출항</a:t>
                </a:r>
              </a:p>
            </c:rich>
          </c:tx>
          <c:layout>
            <c:manualLayout>
              <c:xMode val="edge"/>
              <c:yMode val="edge"/>
              <c:x val="0.52362975754791263"/>
              <c:y val="0.873019813699817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2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02406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척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/>
                  <a:t>평균증가율 </a:t>
                </a:r>
                <a:r>
                  <a:rPr lang="en-US" altLang="ko-KR"/>
                  <a:t>8.6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3.2136123829591752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21888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13</xdr:row>
      <xdr:rowOff>0</xdr:rowOff>
    </xdr:from>
    <xdr:to>
      <xdr:col>15</xdr:col>
      <xdr:colOff>752475</xdr:colOff>
      <xdr:row>20</xdr:row>
      <xdr:rowOff>295275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23</xdr:row>
      <xdr:rowOff>0</xdr:rowOff>
    </xdr:from>
    <xdr:to>
      <xdr:col>7</xdr:col>
      <xdr:colOff>733425</xdr:colOff>
      <xdr:row>30</xdr:row>
      <xdr:rowOff>266700</xdr:rowOff>
    </xdr:to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28575</xdr:colOff>
      <xdr:row>23</xdr:row>
      <xdr:rowOff>9525</xdr:rowOff>
    </xdr:from>
    <xdr:to>
      <xdr:col>15</xdr:col>
      <xdr:colOff>742950</xdr:colOff>
      <xdr:row>30</xdr:row>
      <xdr:rowOff>257175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13</xdr:row>
      <xdr:rowOff>0</xdr:rowOff>
    </xdr:from>
    <xdr:to>
      <xdr:col>7</xdr:col>
      <xdr:colOff>752475</xdr:colOff>
      <xdr:row>20</xdr:row>
      <xdr:rowOff>295275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Normal="199" zoomScaleSheetLayoutView="68" workbookViewId="0"/>
  </sheetViews>
  <sheetFormatPr defaultRowHeight="14.25"/>
  <sheetData/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32"/>
  <sheetViews>
    <sheetView showGridLines="0" tabSelected="1" topLeftCell="A4" zoomScaleNormal="100" zoomScaleSheetLayoutView="110" workbookViewId="0">
      <selection activeCell="I19" sqref="I19"/>
    </sheetView>
  </sheetViews>
  <sheetFormatPr defaultRowHeight="24" customHeight="1"/>
  <cols>
    <col min="1" max="1" width="3.625" customWidth="1"/>
    <col min="2" max="2" width="10" bestFit="1" customWidth="1"/>
    <col min="3" max="3" width="7.25" customWidth="1"/>
    <col min="4" max="4" width="4.875" customWidth="1"/>
    <col min="5" max="5" width="14.375" style="181" customWidth="1"/>
    <col min="6" max="6" width="12.625" bestFit="1" customWidth="1"/>
    <col min="7" max="7" width="13.875" customWidth="1"/>
    <col min="8" max="8" width="12.625" bestFit="1" customWidth="1"/>
    <col min="9" max="9" width="13.875" customWidth="1"/>
    <col min="10" max="10" width="12.625" style="2" bestFit="1" customWidth="1"/>
    <col min="11" max="11" width="8.625" style="1" customWidth="1"/>
    <col min="12" max="12" width="13.75" style="198" bestFit="1" customWidth="1"/>
    <col min="13" max="13" width="7.75" style="4" customWidth="1"/>
    <col min="14" max="18" width="9" customWidth="1"/>
    <col min="20" max="21" width="9" customWidth="1"/>
  </cols>
  <sheetData>
    <row r="1" spans="2:16" ht="13.5" customHeight="1"/>
    <row r="2" spans="2:16" ht="13.5" customHeight="1">
      <c r="B2" s="34"/>
      <c r="C2" s="34"/>
      <c r="D2" s="34"/>
      <c r="E2" s="173"/>
      <c r="F2" s="34"/>
      <c r="G2" s="34"/>
      <c r="H2" s="34"/>
      <c r="I2" s="34"/>
      <c r="J2" s="34"/>
      <c r="K2" s="34"/>
      <c r="L2" s="173"/>
      <c r="M2" s="34"/>
      <c r="N2" s="34"/>
      <c r="O2" s="34"/>
      <c r="P2" s="34"/>
    </row>
    <row r="3" spans="2:16" ht="42.95" customHeight="1">
      <c r="B3" s="278" t="s">
        <v>104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80"/>
      <c r="N3" s="34"/>
      <c r="O3" s="34"/>
      <c r="P3" s="34"/>
    </row>
    <row r="4" spans="2:16" ht="21" customHeight="1">
      <c r="B4" s="95"/>
      <c r="C4" s="96"/>
      <c r="D4" s="96"/>
      <c r="E4" s="182"/>
      <c r="F4" s="96"/>
      <c r="G4" s="96"/>
      <c r="H4" s="96"/>
      <c r="I4" s="96"/>
      <c r="J4" s="96"/>
      <c r="K4" s="96"/>
      <c r="L4" s="182"/>
      <c r="M4" s="96"/>
    </row>
    <row r="5" spans="2:16" ht="21" customHeight="1">
      <c r="B5" s="32"/>
      <c r="C5" s="33"/>
      <c r="D5" s="33"/>
      <c r="E5" s="183"/>
      <c r="F5" s="33"/>
      <c r="G5" s="33"/>
      <c r="H5" s="33"/>
      <c r="I5" s="33"/>
      <c r="J5" s="33"/>
      <c r="K5" s="281" t="s">
        <v>85</v>
      </c>
      <c r="L5" s="281"/>
      <c r="M5" s="281"/>
    </row>
    <row r="6" spans="2:16" ht="21" customHeight="1">
      <c r="B6" s="272" t="s">
        <v>7</v>
      </c>
      <c r="C6" s="273"/>
      <c r="D6" s="273"/>
      <c r="E6" s="184"/>
      <c r="F6" s="264" t="s">
        <v>102</v>
      </c>
      <c r="G6" s="264"/>
      <c r="H6" s="264" t="s">
        <v>103</v>
      </c>
      <c r="I6" s="264"/>
      <c r="J6" s="264" t="s">
        <v>15</v>
      </c>
      <c r="K6" s="264"/>
      <c r="L6" s="264"/>
      <c r="M6" s="271"/>
    </row>
    <row r="7" spans="2:16" ht="21" customHeight="1" thickBot="1">
      <c r="B7" s="274"/>
      <c r="C7" s="275"/>
      <c r="D7" s="275"/>
      <c r="E7" s="175" t="s">
        <v>11</v>
      </c>
      <c r="F7" s="64" t="s">
        <v>105</v>
      </c>
      <c r="G7" s="63" t="s">
        <v>106</v>
      </c>
      <c r="H7" s="63" t="s">
        <v>107</v>
      </c>
      <c r="I7" s="63" t="s">
        <v>108</v>
      </c>
      <c r="J7" s="63" t="s">
        <v>37</v>
      </c>
      <c r="K7" s="65" t="s">
        <v>16</v>
      </c>
      <c r="L7" s="199" t="s">
        <v>18</v>
      </c>
      <c r="M7" s="66" t="s">
        <v>16</v>
      </c>
    </row>
    <row r="8" spans="2:16" ht="20.100000000000001" customHeight="1" thickBot="1">
      <c r="B8" s="266" t="s">
        <v>19</v>
      </c>
      <c r="C8" s="269" t="s">
        <v>12</v>
      </c>
      <c r="D8" s="270"/>
      <c r="E8" s="185">
        <f>SUM(E9:E10)</f>
        <v>19574</v>
      </c>
      <c r="F8" s="71">
        <f>SUM(F9:F10)</f>
        <v>1662</v>
      </c>
      <c r="G8" s="71">
        <f>SUM(G9:G10)</f>
        <v>11382</v>
      </c>
      <c r="H8" s="71">
        <f>SUM(H9:H10)</f>
        <v>1518</v>
      </c>
      <c r="I8" s="71">
        <f>SUM(I9:I10)</f>
        <v>10718</v>
      </c>
      <c r="J8" s="71">
        <f>H8-F8</f>
        <v>-144</v>
      </c>
      <c r="K8" s="72">
        <f>H8/F8</f>
        <v>0.91335740072202165</v>
      </c>
      <c r="L8" s="185">
        <f>I8-G8</f>
        <v>-664</v>
      </c>
      <c r="M8" s="73">
        <f>I8/G8</f>
        <v>0.94166227376559475</v>
      </c>
    </row>
    <row r="9" spans="2:16" ht="20.100000000000001" customHeight="1">
      <c r="B9" s="267"/>
      <c r="C9" s="276" t="s">
        <v>9</v>
      </c>
      <c r="D9" s="276"/>
      <c r="E9" s="211">
        <f>5034+5042</f>
        <v>10076</v>
      </c>
      <c r="F9" s="67">
        <f>426+439</f>
        <v>865</v>
      </c>
      <c r="G9" s="241">
        <f>812+818+439+433+447+447+441+452+849+426+439</f>
        <v>6003</v>
      </c>
      <c r="H9" s="67">
        <f>388+388</f>
        <v>776</v>
      </c>
      <c r="I9" s="241">
        <f>418+421+367+378+443+433+762+865+831+388+388</f>
        <v>5694</v>
      </c>
      <c r="J9" s="68">
        <f t="shared" ref="J9:J28" si="0">H9-F9</f>
        <v>-89</v>
      </c>
      <c r="K9" s="69">
        <f t="shared" ref="K9:K29" si="1">H9/F9</f>
        <v>0.89710982658959537</v>
      </c>
      <c r="L9" s="200">
        <f>I9-G9</f>
        <v>-309</v>
      </c>
      <c r="M9" s="70">
        <f t="shared" ref="M9:M25" si="2">I9/G9</f>
        <v>0.94852573713143429</v>
      </c>
    </row>
    <row r="10" spans="2:16" ht="20.100000000000001" customHeight="1" thickBot="1">
      <c r="B10" s="267"/>
      <c r="C10" s="277" t="s">
        <v>10</v>
      </c>
      <c r="D10" s="277"/>
      <c r="E10" s="212">
        <f>4758+4740</f>
        <v>9498</v>
      </c>
      <c r="F10" s="74">
        <f>399+398</f>
        <v>797</v>
      </c>
      <c r="G10" s="242">
        <f>630+620+378+381+429+427+427+429+861+399+398</f>
        <v>5379</v>
      </c>
      <c r="H10" s="74">
        <f>371+371</f>
        <v>742</v>
      </c>
      <c r="I10" s="242">
        <f>345+345+309+308+404+413+750+337+337+734+371+371</f>
        <v>5024</v>
      </c>
      <c r="J10" s="74">
        <f t="shared" si="0"/>
        <v>-55</v>
      </c>
      <c r="K10" s="75">
        <f t="shared" si="1"/>
        <v>0.93099121706399002</v>
      </c>
      <c r="L10" s="201">
        <f t="shared" ref="L10:L29" si="3">I10-G10</f>
        <v>-355</v>
      </c>
      <c r="M10" s="76">
        <f t="shared" si="2"/>
        <v>0.93400260271425917</v>
      </c>
      <c r="O10" t="s">
        <v>100</v>
      </c>
    </row>
    <row r="11" spans="2:16" ht="20.100000000000001" customHeight="1" thickBot="1">
      <c r="B11" s="266" t="s">
        <v>20</v>
      </c>
      <c r="C11" s="269" t="s">
        <v>8</v>
      </c>
      <c r="D11" s="270"/>
      <c r="E11" s="193">
        <f>E12+E16</f>
        <v>114971346</v>
      </c>
      <c r="F11" s="193">
        <f>F12+F16</f>
        <v>9105230</v>
      </c>
      <c r="G11" s="193">
        <f>G12+G16</f>
        <v>66165110</v>
      </c>
      <c r="H11" s="193">
        <f>H12+H16</f>
        <v>9344870</v>
      </c>
      <c r="I11" s="193">
        <f>I12+I16</f>
        <v>67067218</v>
      </c>
      <c r="J11" s="193">
        <f t="shared" si="0"/>
        <v>239640</v>
      </c>
      <c r="K11" s="72">
        <f t="shared" si="1"/>
        <v>1.0263189397741737</v>
      </c>
      <c r="L11" s="210">
        <f>I11-G11</f>
        <v>902108</v>
      </c>
      <c r="M11" s="73">
        <f t="shared" si="2"/>
        <v>1.0136341948195959</v>
      </c>
    </row>
    <row r="12" spans="2:16" ht="20.100000000000001" customHeight="1">
      <c r="B12" s="267"/>
      <c r="C12" s="276" t="s">
        <v>1</v>
      </c>
      <c r="D12" s="77" t="s">
        <v>0</v>
      </c>
      <c r="E12" s="194">
        <f>SUM(E13:E15)</f>
        <v>104898926</v>
      </c>
      <c r="F12" s="78">
        <f>SUM(F13:F15)</f>
        <v>8233857</v>
      </c>
      <c r="G12" s="78">
        <f>SUM(G13:G15)</f>
        <v>60076031</v>
      </c>
      <c r="H12" s="78">
        <f>SUM(H13:H15)</f>
        <v>8504057</v>
      </c>
      <c r="I12" s="78">
        <f>SUM(I13:I15)</f>
        <v>61486623</v>
      </c>
      <c r="J12" s="79">
        <f t="shared" ref="J12:J16" si="4">H12-F12</f>
        <v>270200</v>
      </c>
      <c r="K12" s="80">
        <f t="shared" si="1"/>
        <v>1.0328157265786859</v>
      </c>
      <c r="L12" s="202">
        <f>I12-G12</f>
        <v>1410592</v>
      </c>
      <c r="M12" s="81">
        <f t="shared" si="2"/>
        <v>1.0234801130587339</v>
      </c>
    </row>
    <row r="13" spans="2:16" ht="20.100000000000001" customHeight="1">
      <c r="B13" s="267"/>
      <c r="C13" s="265"/>
      <c r="D13" s="54" t="s">
        <v>5</v>
      </c>
      <c r="E13" s="213">
        <v>83772896</v>
      </c>
      <c r="F13" s="244">
        <v>6299503</v>
      </c>
      <c r="G13" s="244">
        <f>7351061+5873668+7407124+7337991+6830607+6407764+6299503</f>
        <v>47507718</v>
      </c>
      <c r="H13" s="244">
        <v>6617903</v>
      </c>
      <c r="I13" s="244">
        <f>7846157+6560792+7660200+6985031+6821553+6624832+6617903</f>
        <v>49116468</v>
      </c>
      <c r="J13" s="51">
        <f t="shared" si="4"/>
        <v>318400</v>
      </c>
      <c r="K13" s="49">
        <f t="shared" si="1"/>
        <v>1.0505436698736392</v>
      </c>
      <c r="L13" s="189">
        <f>I13-G13</f>
        <v>1608750</v>
      </c>
      <c r="M13" s="56">
        <f t="shared" si="2"/>
        <v>1.033862918862994</v>
      </c>
      <c r="O13" s="24"/>
    </row>
    <row r="14" spans="2:16" ht="20.100000000000001" customHeight="1">
      <c r="B14" s="267"/>
      <c r="C14" s="265"/>
      <c r="D14" s="54" t="s">
        <v>6</v>
      </c>
      <c r="E14" s="213">
        <v>18700573</v>
      </c>
      <c r="F14" s="244">
        <v>1704337</v>
      </c>
      <c r="G14" s="244">
        <f>1424893+1409756+1704227+1685398+1684023+1536750+1704337</f>
        <v>11149384</v>
      </c>
      <c r="H14" s="244">
        <v>1701215</v>
      </c>
      <c r="I14" s="244">
        <f>1612063+1318939+1713285+1454328+1465971+1733428+1701215</f>
        <v>10999229</v>
      </c>
      <c r="J14" s="51">
        <f t="shared" si="4"/>
        <v>-3122</v>
      </c>
      <c r="K14" s="49">
        <f t="shared" si="1"/>
        <v>0.99816820265006279</v>
      </c>
      <c r="L14" s="189">
        <f t="shared" si="3"/>
        <v>-150155</v>
      </c>
      <c r="M14" s="56">
        <f t="shared" si="2"/>
        <v>0.98653243981909677</v>
      </c>
    </row>
    <row r="15" spans="2:16" ht="20.100000000000001" customHeight="1">
      <c r="B15" s="267"/>
      <c r="C15" s="265"/>
      <c r="D15" s="54" t="s">
        <v>13</v>
      </c>
      <c r="E15" s="214">
        <f>1311350+1114107</f>
        <v>2425457</v>
      </c>
      <c r="F15" s="216">
        <f>132013+98004</f>
        <v>230017</v>
      </c>
      <c r="G15" s="244">
        <f>70944+59464+132811+109897+143400+101594+88243+119242+103189+89745+96496+73887+132013+98004</f>
        <v>1418929</v>
      </c>
      <c r="H15" s="244">
        <f>110515+74424</f>
        <v>184939</v>
      </c>
      <c r="I15" s="244">
        <f>110173+83279+93401+95695+110021
+80466+95064+77380+140386+92607+105165+102350+110515+74424</f>
        <v>1370926</v>
      </c>
      <c r="J15" s="51">
        <f t="shared" si="4"/>
        <v>-45078</v>
      </c>
      <c r="K15" s="49">
        <f>H15/F15</f>
        <v>0.8040231808953251</v>
      </c>
      <c r="L15" s="189">
        <f t="shared" si="3"/>
        <v>-48003</v>
      </c>
      <c r="M15" s="56">
        <f t="shared" si="2"/>
        <v>0.96616955464297372</v>
      </c>
      <c r="O15" s="24"/>
    </row>
    <row r="16" spans="2:16" ht="20.100000000000001" customHeight="1">
      <c r="B16" s="267"/>
      <c r="C16" s="265" t="s">
        <v>2</v>
      </c>
      <c r="D16" s="53" t="s">
        <v>0</v>
      </c>
      <c r="E16" s="195">
        <f>SUM(E17:E19)</f>
        <v>10072420</v>
      </c>
      <c r="F16" s="52">
        <f>SUM(F17:F19)</f>
        <v>871373</v>
      </c>
      <c r="G16" s="52">
        <f>SUM(G17:G19)</f>
        <v>6089079</v>
      </c>
      <c r="H16" s="52">
        <f>SUM(H17:H19)</f>
        <v>840813</v>
      </c>
      <c r="I16" s="52">
        <f>SUM(I17:I19)</f>
        <v>5580595</v>
      </c>
      <c r="J16" s="47">
        <f t="shared" si="4"/>
        <v>-30560</v>
      </c>
      <c r="K16" s="48">
        <f t="shared" si="1"/>
        <v>0.96492891104039258</v>
      </c>
      <c r="L16" s="203">
        <f t="shared" si="3"/>
        <v>-508484</v>
      </c>
      <c r="M16" s="57">
        <f t="shared" si="2"/>
        <v>0.91649246133939144</v>
      </c>
      <c r="O16" s="24"/>
    </row>
    <row r="17" spans="2:15" ht="20.100000000000001" customHeight="1">
      <c r="B17" s="267"/>
      <c r="C17" s="265"/>
      <c r="D17" s="54" t="s">
        <v>3</v>
      </c>
      <c r="E17" s="215">
        <v>7174853</v>
      </c>
      <c r="F17" s="244">
        <v>624946</v>
      </c>
      <c r="G17" s="244">
        <f>619145+510047+659870+627161+694446+614244+624946</f>
        <v>4349859</v>
      </c>
      <c r="H17" s="244">
        <v>608659</v>
      </c>
      <c r="I17" s="244">
        <f>550272+482291+669018+543659+567083+503179+608659</f>
        <v>3924161</v>
      </c>
      <c r="J17" s="51">
        <f>H17-F17</f>
        <v>-16287</v>
      </c>
      <c r="K17" s="49">
        <f>H17/F17</f>
        <v>0.97393854829057236</v>
      </c>
      <c r="L17" s="189">
        <f>I17-G17</f>
        <v>-425698</v>
      </c>
      <c r="M17" s="56">
        <f>I17/G17</f>
        <v>0.90213521863582247</v>
      </c>
      <c r="O17" s="24"/>
    </row>
    <row r="18" spans="2:15" ht="20.100000000000001" customHeight="1">
      <c r="B18" s="267"/>
      <c r="C18" s="265"/>
      <c r="D18" s="54" t="s">
        <v>4</v>
      </c>
      <c r="E18" s="215">
        <v>2897567</v>
      </c>
      <c r="F18" s="244">
        <v>246427</v>
      </c>
      <c r="G18" s="244">
        <f>260134+194603+282398+243644+269183+242831+246427</f>
        <v>1739220</v>
      </c>
      <c r="H18" s="244">
        <v>232154</v>
      </c>
      <c r="I18" s="244">
        <f>227455+248645+289202+221639+223050+214289+232154</f>
        <v>1656434</v>
      </c>
      <c r="J18" s="51">
        <f>H18-F18</f>
        <v>-14273</v>
      </c>
      <c r="K18" s="49">
        <f>H18/F18</f>
        <v>0.94208021036655887</v>
      </c>
      <c r="L18" s="189">
        <f>I18-G18</f>
        <v>-82786</v>
      </c>
      <c r="M18" s="56">
        <f>I18/G18</f>
        <v>0.9524005013741792</v>
      </c>
    </row>
    <row r="19" spans="2:15" ht="20.100000000000001" customHeight="1">
      <c r="B19" s="267"/>
      <c r="C19" s="265"/>
      <c r="D19" s="54" t="s">
        <v>17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7">
        <v>0</v>
      </c>
      <c r="L19" s="204">
        <v>0</v>
      </c>
      <c r="M19" s="56" t="s">
        <v>75</v>
      </c>
    </row>
    <row r="20" spans="2:15" ht="20.100000000000001" customHeight="1" thickBot="1">
      <c r="B20" s="61"/>
      <c r="C20" s="82"/>
      <c r="D20" s="141"/>
      <c r="E20" s="186"/>
      <c r="F20" s="84"/>
      <c r="G20" s="84"/>
      <c r="H20" s="244"/>
      <c r="I20" s="83"/>
      <c r="J20" s="85"/>
      <c r="K20" s="261" t="s">
        <v>21</v>
      </c>
      <c r="L20" s="262"/>
      <c r="M20" s="263"/>
    </row>
    <row r="21" spans="2:15" ht="20.100000000000001" customHeight="1" thickBot="1">
      <c r="B21" s="268" t="s">
        <v>86</v>
      </c>
      <c r="C21" s="269" t="s">
        <v>8</v>
      </c>
      <c r="D21" s="270"/>
      <c r="E21" s="187">
        <f>SUM(E22,E26)</f>
        <v>956031</v>
      </c>
      <c r="F21" s="88">
        <f>SUM(F22,F26)</f>
        <v>83268</v>
      </c>
      <c r="G21" s="88">
        <f>SUM(G22,G26)</f>
        <v>544850</v>
      </c>
      <c r="H21" s="87">
        <f>SUM(H22,H26)</f>
        <v>90417</v>
      </c>
      <c r="I21" s="87">
        <f>SUM(I22,I26)</f>
        <v>600863</v>
      </c>
      <c r="J21" s="89">
        <f t="shared" si="0"/>
        <v>7149</v>
      </c>
      <c r="K21" s="90">
        <f t="shared" si="1"/>
        <v>1.0858553105634818</v>
      </c>
      <c r="L21" s="205">
        <f t="shared" si="3"/>
        <v>56013</v>
      </c>
      <c r="M21" s="73">
        <f>I21/G21</f>
        <v>1.1028044415894283</v>
      </c>
    </row>
    <row r="22" spans="2:15" ht="20.100000000000001" customHeight="1">
      <c r="B22" s="267"/>
      <c r="C22" s="276" t="s">
        <v>1</v>
      </c>
      <c r="D22" s="77" t="s">
        <v>0</v>
      </c>
      <c r="E22" s="188">
        <f>SUM(E23:E25)</f>
        <v>956031</v>
      </c>
      <c r="F22" s="77">
        <f>SUM(F23:F25)</f>
        <v>83268</v>
      </c>
      <c r="G22" s="77">
        <f>SUM(G23:G25)</f>
        <v>544850</v>
      </c>
      <c r="H22" s="77">
        <f>SUM(H23:H25)</f>
        <v>90417</v>
      </c>
      <c r="I22" s="77">
        <f>SUM(I23:I25)</f>
        <v>600863</v>
      </c>
      <c r="J22" s="79">
        <f t="shared" si="0"/>
        <v>7149</v>
      </c>
      <c r="K22" s="86">
        <f t="shared" si="1"/>
        <v>1.0858553105634818</v>
      </c>
      <c r="L22" s="202">
        <f t="shared" si="3"/>
        <v>56013</v>
      </c>
      <c r="M22" s="81">
        <f t="shared" si="2"/>
        <v>1.1028044415894283</v>
      </c>
    </row>
    <row r="23" spans="2:15" ht="20.100000000000001" customHeight="1">
      <c r="B23" s="267"/>
      <c r="C23" s="265"/>
      <c r="D23" s="59" t="s">
        <v>5</v>
      </c>
      <c r="E23" s="243">
        <v>469464</v>
      </c>
      <c r="F23" s="254">
        <v>40162</v>
      </c>
      <c r="G23" s="257">
        <f>42271+66412+40688+38633+39972+40162</f>
        <v>268138</v>
      </c>
      <c r="H23" s="254">
        <v>42353</v>
      </c>
      <c r="I23" s="257">
        <f>72402+42541+44373+44948+44534+42353</f>
        <v>291151</v>
      </c>
      <c r="J23" s="51">
        <f>H23-F23</f>
        <v>2191</v>
      </c>
      <c r="K23" s="50">
        <f>H23/F23</f>
        <v>1.0545540560729048</v>
      </c>
      <c r="L23" s="189">
        <f>I23-G23</f>
        <v>23013</v>
      </c>
      <c r="M23" s="56">
        <f>I23/G23</f>
        <v>1.0858252094070964</v>
      </c>
    </row>
    <row r="24" spans="2:15" ht="20.100000000000001" customHeight="1">
      <c r="B24" s="267"/>
      <c r="C24" s="265"/>
      <c r="D24" s="58" t="s">
        <v>14</v>
      </c>
      <c r="E24" s="243">
        <v>471444</v>
      </c>
      <c r="F24" s="255">
        <v>41809</v>
      </c>
      <c r="G24" s="257">
        <f>38871+67403+40271+37919+42091+41809</f>
        <v>268364</v>
      </c>
      <c r="H24" s="255">
        <v>46986</v>
      </c>
      <c r="I24" s="257">
        <f>73765+46775+45409+43054+46461+46986</f>
        <v>302450</v>
      </c>
      <c r="J24" s="51">
        <f t="shared" ref="J24:J25" si="5">H24-F24</f>
        <v>5177</v>
      </c>
      <c r="K24" s="50">
        <f>H24/F24</f>
        <v>1.1238250137530197</v>
      </c>
      <c r="L24" s="189">
        <f>I24-G24</f>
        <v>34086</v>
      </c>
      <c r="M24" s="56">
        <f>I24/G24</f>
        <v>1.12701405553651</v>
      </c>
    </row>
    <row r="25" spans="2:15" ht="20.100000000000001" customHeight="1">
      <c r="B25" s="267"/>
      <c r="C25" s="265"/>
      <c r="D25" s="58" t="s">
        <v>13</v>
      </c>
      <c r="E25" s="243">
        <v>15123</v>
      </c>
      <c r="F25" s="256">
        <v>1297</v>
      </c>
      <c r="G25" s="257">
        <f>1881+1614+1426+1099+1031+1297</f>
        <v>8348</v>
      </c>
      <c r="H25" s="256">
        <v>1078</v>
      </c>
      <c r="I25" s="257">
        <f>889+1421+1022+1249+1603+1078</f>
        <v>7262</v>
      </c>
      <c r="J25" s="51">
        <f t="shared" si="5"/>
        <v>-219</v>
      </c>
      <c r="K25" s="50">
        <f t="shared" si="1"/>
        <v>0.83114880493446419</v>
      </c>
      <c r="L25" s="189">
        <f t="shared" si="3"/>
        <v>-1086</v>
      </c>
      <c r="M25" s="56">
        <f t="shared" si="2"/>
        <v>0.8699089602299952</v>
      </c>
    </row>
    <row r="26" spans="2:15" ht="20.100000000000001" customHeight="1">
      <c r="B26" s="267"/>
      <c r="C26" s="265" t="s">
        <v>2</v>
      </c>
      <c r="D26" s="54" t="s">
        <v>49</v>
      </c>
      <c r="E26" s="190">
        <f>SUM(E27:E28)</f>
        <v>0</v>
      </c>
      <c r="F26" s="55">
        <f>SUM(F27:F28)</f>
        <v>0</v>
      </c>
      <c r="G26" s="55">
        <f>SUM(G27:G28)</f>
        <v>0</v>
      </c>
      <c r="H26" s="55">
        <v>0</v>
      </c>
      <c r="I26" s="55">
        <f>SUM(I27:I28)</f>
        <v>0</v>
      </c>
      <c r="J26" s="60">
        <f t="shared" si="0"/>
        <v>0</v>
      </c>
      <c r="K26" s="55">
        <v>0</v>
      </c>
      <c r="L26" s="206">
        <f t="shared" si="3"/>
        <v>0</v>
      </c>
      <c r="M26" s="62">
        <v>0</v>
      </c>
    </row>
    <row r="27" spans="2:15" ht="20.100000000000001" customHeight="1">
      <c r="B27" s="267"/>
      <c r="C27" s="265"/>
      <c r="D27" s="54" t="s">
        <v>49</v>
      </c>
      <c r="E27" s="180">
        <v>0</v>
      </c>
      <c r="F27" s="59">
        <v>0</v>
      </c>
      <c r="G27" s="59">
        <v>0</v>
      </c>
      <c r="H27" s="59">
        <v>0</v>
      </c>
      <c r="I27" s="59">
        <v>0</v>
      </c>
      <c r="J27" s="60">
        <f t="shared" si="0"/>
        <v>0</v>
      </c>
      <c r="K27" s="55">
        <v>0</v>
      </c>
      <c r="L27" s="206">
        <f t="shared" si="3"/>
        <v>0</v>
      </c>
      <c r="M27" s="62">
        <v>0</v>
      </c>
    </row>
    <row r="28" spans="2:15" ht="20.100000000000001" customHeight="1" thickBot="1">
      <c r="B28" s="267"/>
      <c r="C28" s="265"/>
      <c r="D28" s="54" t="s">
        <v>49</v>
      </c>
      <c r="E28" s="191">
        <v>0</v>
      </c>
      <c r="F28" s="91">
        <v>0</v>
      </c>
      <c r="G28" s="91">
        <v>0</v>
      </c>
      <c r="H28" s="91">
        <v>0</v>
      </c>
      <c r="I28" s="91">
        <v>0</v>
      </c>
      <c r="J28" s="92">
        <f t="shared" si="0"/>
        <v>0</v>
      </c>
      <c r="K28" s="93">
        <v>0</v>
      </c>
      <c r="L28" s="207">
        <f t="shared" si="3"/>
        <v>0</v>
      </c>
      <c r="M28" s="94">
        <v>0</v>
      </c>
    </row>
    <row r="29" spans="2:15" s="22" customFormat="1" ht="20.100000000000001" customHeight="1" thickBot="1">
      <c r="B29" s="258" t="s">
        <v>47</v>
      </c>
      <c r="C29" s="259"/>
      <c r="D29" s="260"/>
      <c r="E29" s="218">
        <v>1616086</v>
      </c>
      <c r="F29" s="217">
        <v>143971</v>
      </c>
      <c r="G29" s="217">
        <f>99612+118713+141523+154589+144125+134530+143971</f>
        <v>937063</v>
      </c>
      <c r="H29" s="150">
        <v>160498</v>
      </c>
      <c r="I29" s="217">
        <f>837891+160498</f>
        <v>998389</v>
      </c>
      <c r="J29" s="151">
        <f>H29-F29</f>
        <v>16527</v>
      </c>
      <c r="K29" s="152">
        <f t="shared" si="1"/>
        <v>1.1147939515596892</v>
      </c>
      <c r="L29" s="208">
        <f t="shared" si="3"/>
        <v>61326</v>
      </c>
      <c r="M29" s="153">
        <f>I29/G29</f>
        <v>1.0654449060522078</v>
      </c>
    </row>
    <row r="30" spans="2:15" ht="12.75" customHeight="1">
      <c r="B30" s="5"/>
      <c r="C30" s="5"/>
      <c r="D30" s="5"/>
      <c r="E30" s="192"/>
      <c r="F30" s="7"/>
      <c r="G30" s="7"/>
      <c r="H30" s="7"/>
      <c r="I30" s="7"/>
      <c r="J30" s="6"/>
      <c r="K30" s="8"/>
      <c r="L30" s="209"/>
      <c r="M30" s="9"/>
    </row>
    <row r="31" spans="2:15" ht="24" customHeight="1">
      <c r="F31" s="181"/>
      <c r="G31" s="181"/>
      <c r="H31" s="181"/>
      <c r="I31" s="181"/>
    </row>
    <row r="32" spans="2:15" ht="24" customHeight="1">
      <c r="F32" s="181"/>
      <c r="G32" s="181"/>
      <c r="H32" s="181"/>
      <c r="I32" s="181"/>
    </row>
  </sheetData>
  <mergeCells count="20">
    <mergeCell ref="B3:M3"/>
    <mergeCell ref="F6:G6"/>
    <mergeCell ref="K5:M5"/>
    <mergeCell ref="C26:C28"/>
    <mergeCell ref="B29:D29"/>
    <mergeCell ref="K20:M20"/>
    <mergeCell ref="H6:I6"/>
    <mergeCell ref="C16:C19"/>
    <mergeCell ref="B8:B10"/>
    <mergeCell ref="B21:B28"/>
    <mergeCell ref="C11:D11"/>
    <mergeCell ref="C8:D8"/>
    <mergeCell ref="J6:M6"/>
    <mergeCell ref="B6:D7"/>
    <mergeCell ref="C22:C25"/>
    <mergeCell ref="C9:D9"/>
    <mergeCell ref="C10:D10"/>
    <mergeCell ref="C12:C15"/>
    <mergeCell ref="B11:B19"/>
    <mergeCell ref="C21:D21"/>
  </mergeCells>
  <phoneticPr fontId="10" type="noConversion"/>
  <printOptions horizontalCentered="1" gridLinesSet="0"/>
  <pageMargins left="0.19685039370078741" right="0.19685039370078741" top="0.15748031496062992" bottom="0.23622047244094491" header="0.19685039370078741" footer="0.23622047244094491"/>
  <pageSetup paperSize="9" scale="94" orientation="landscape" verticalDpi="597" r:id="rId1"/>
  <headerFooter alignWithMargins="0"/>
  <ignoredErrors>
    <ignoredError sqref="E26:G26 H22 I2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C32"/>
  <sheetViews>
    <sheetView showGridLines="0" topLeftCell="A3" zoomScaleNormal="100" workbookViewId="0">
      <selection activeCell="H7" sqref="H7"/>
    </sheetView>
  </sheetViews>
  <sheetFormatPr defaultRowHeight="14.25"/>
  <cols>
    <col min="1" max="1" width="3.625" customWidth="1"/>
    <col min="2" max="8" width="10.125" customWidth="1"/>
    <col min="9" max="9" width="3.625" style="39" customWidth="1"/>
    <col min="10" max="16" width="10.125" customWidth="1"/>
    <col min="19" max="19" width="10.75" bestFit="1" customWidth="1"/>
  </cols>
  <sheetData>
    <row r="1" spans="2:29" ht="13.5" customHeight="1">
      <c r="L1" s="2"/>
      <c r="M1" s="1"/>
      <c r="N1" s="3"/>
      <c r="O1" s="4"/>
    </row>
    <row r="2" spans="2:29" ht="13.5" customHeight="1">
      <c r="C2" s="34"/>
      <c r="D2" s="34"/>
      <c r="E2" s="34"/>
      <c r="F2" s="34"/>
      <c r="G2" s="34"/>
      <c r="H2" s="34"/>
      <c r="I2" s="40"/>
      <c r="J2" s="34"/>
      <c r="K2" s="34"/>
      <c r="L2" s="34"/>
      <c r="M2" s="34"/>
      <c r="N2" s="34"/>
      <c r="O2" s="34"/>
      <c r="P2" s="34"/>
      <c r="Q2" s="34"/>
      <c r="R2" s="34"/>
    </row>
    <row r="3" spans="2:29" ht="42.95" customHeight="1">
      <c r="B3" s="282" t="s">
        <v>87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34"/>
      <c r="R3" s="34"/>
    </row>
    <row r="4" spans="2:29" s="11" customFormat="1" ht="21" customHeight="1">
      <c r="B4" s="10"/>
      <c r="I4" s="41"/>
    </row>
    <row r="5" spans="2:29" s="11" customFormat="1" ht="21" customHeight="1" thickBot="1">
      <c r="B5"/>
      <c r="C5"/>
      <c r="D5"/>
      <c r="E5" s="37"/>
      <c r="F5" s="37"/>
      <c r="G5" s="285" t="s">
        <v>50</v>
      </c>
      <c r="H5" s="285"/>
      <c r="I5" s="38"/>
      <c r="J5"/>
      <c r="K5"/>
      <c r="L5"/>
      <c r="M5" s="37"/>
      <c r="N5" s="37"/>
      <c r="O5" s="285" t="s">
        <v>88</v>
      </c>
      <c r="P5" s="285"/>
    </row>
    <row r="6" spans="2:29" s="11" customFormat="1" ht="32.25" customHeight="1">
      <c r="B6" s="127" t="s">
        <v>94</v>
      </c>
      <c r="C6" s="219">
        <v>2021</v>
      </c>
      <c r="D6" s="219">
        <v>2022</v>
      </c>
      <c r="E6" s="227">
        <v>2023</v>
      </c>
      <c r="F6" s="227">
        <v>2024</v>
      </c>
      <c r="G6" s="227">
        <v>2025</v>
      </c>
      <c r="H6" s="131" t="s">
        <v>109</v>
      </c>
      <c r="I6" s="42"/>
      <c r="J6" s="127" t="s">
        <v>94</v>
      </c>
      <c r="K6" s="227">
        <v>2021</v>
      </c>
      <c r="L6" s="227">
        <v>2022</v>
      </c>
      <c r="M6" s="227">
        <v>2023</v>
      </c>
      <c r="N6" s="227">
        <v>2024</v>
      </c>
      <c r="O6" s="227">
        <v>2025</v>
      </c>
      <c r="P6" s="133" t="str">
        <f>$H$6</f>
        <v>2026.7.</v>
      </c>
    </row>
    <row r="7" spans="2:29" s="11" customFormat="1" ht="39.200000000000003" customHeight="1" thickBot="1">
      <c r="B7" s="128" t="s">
        <v>92</v>
      </c>
      <c r="C7" s="224">
        <v>16473</v>
      </c>
      <c r="D7" s="224">
        <v>16626</v>
      </c>
      <c r="E7" s="228">
        <v>17324</v>
      </c>
      <c r="F7" s="228">
        <v>17502</v>
      </c>
      <c r="G7" s="220">
        <f>통계요약!E8</f>
        <v>19574</v>
      </c>
      <c r="H7" s="132">
        <f>통계요약!I8</f>
        <v>10718</v>
      </c>
      <c r="I7" s="43"/>
      <c r="J7" s="129" t="s">
        <v>91</v>
      </c>
      <c r="K7" s="221">
        <v>116876152</v>
      </c>
      <c r="L7" s="221">
        <v>116171568</v>
      </c>
      <c r="M7" s="222">
        <v>116607017</v>
      </c>
      <c r="N7" s="223">
        <v>116714212</v>
      </c>
      <c r="O7" s="223">
        <f>통계요약!E11</f>
        <v>114971346</v>
      </c>
      <c r="P7" s="134">
        <f>통계요약!I11</f>
        <v>67067218</v>
      </c>
    </row>
    <row r="8" spans="2:29" s="11" customFormat="1" ht="21" customHeight="1" thickBot="1">
      <c r="B8"/>
      <c r="C8"/>
      <c r="D8"/>
      <c r="E8" s="37"/>
      <c r="F8" s="37"/>
      <c r="G8" s="285" t="s">
        <v>89</v>
      </c>
      <c r="H8" s="285"/>
      <c r="I8" s="38"/>
      <c r="J8" s="12"/>
      <c r="K8" s="13"/>
      <c r="L8" s="13"/>
      <c r="M8" s="37"/>
      <c r="N8" s="37"/>
      <c r="O8" s="285" t="s">
        <v>90</v>
      </c>
      <c r="P8" s="285"/>
    </row>
    <row r="9" spans="2:29" s="11" customFormat="1" ht="32.25" customHeight="1">
      <c r="B9" s="127" t="s">
        <v>94</v>
      </c>
      <c r="C9" s="227">
        <v>2021</v>
      </c>
      <c r="D9" s="227">
        <v>2022</v>
      </c>
      <c r="E9" s="227">
        <v>2023</v>
      </c>
      <c r="F9" s="227">
        <v>2024</v>
      </c>
      <c r="G9" s="227">
        <v>2025</v>
      </c>
      <c r="H9" s="133" t="str">
        <f>$H$6</f>
        <v>2026.7.</v>
      </c>
      <c r="I9" s="44"/>
      <c r="J9" s="127" t="s">
        <v>94</v>
      </c>
      <c r="K9" s="227">
        <v>2021</v>
      </c>
      <c r="L9" s="227">
        <v>2022</v>
      </c>
      <c r="M9" s="227">
        <v>2023</v>
      </c>
      <c r="N9" s="227">
        <v>2024</v>
      </c>
      <c r="O9" s="227">
        <v>2025</v>
      </c>
      <c r="P9" s="133" t="str">
        <f>$H$6</f>
        <v>2026.7.</v>
      </c>
    </row>
    <row r="10" spans="2:29" s="11" customFormat="1" ht="37.5" customHeight="1" thickBot="1">
      <c r="B10" s="130" t="s">
        <v>22</v>
      </c>
      <c r="C10" s="233">
        <v>936246</v>
      </c>
      <c r="D10" s="233">
        <v>851953</v>
      </c>
      <c r="E10" s="234">
        <v>820289</v>
      </c>
      <c r="F10" s="228">
        <v>924735.5</v>
      </c>
      <c r="G10" s="228">
        <f>통계요약!E21</f>
        <v>956031</v>
      </c>
      <c r="H10" s="135">
        <f>통계요약!I21</f>
        <v>600863</v>
      </c>
      <c r="I10" s="45"/>
      <c r="J10" s="130" t="s">
        <v>93</v>
      </c>
      <c r="K10" s="224">
        <v>0</v>
      </c>
      <c r="L10" s="224"/>
      <c r="M10" s="224">
        <v>0</v>
      </c>
      <c r="N10" s="225">
        <v>0</v>
      </c>
      <c r="O10" s="225">
        <v>0</v>
      </c>
      <c r="P10" s="135"/>
      <c r="S10" s="21" t="s">
        <v>101</v>
      </c>
      <c r="AC10" s="21"/>
    </row>
    <row r="11" spans="2:29" ht="21" customHeight="1"/>
    <row r="12" spans="2:29" s="18" customFormat="1" ht="21" customHeight="1">
      <c r="B12" s="284" t="s">
        <v>98</v>
      </c>
      <c r="C12" s="284"/>
      <c r="D12" s="284"/>
      <c r="I12" s="46"/>
    </row>
    <row r="13" spans="2:29" s="11" customFormat="1" ht="21" customHeight="1">
      <c r="B13" s="283" t="s">
        <v>95</v>
      </c>
      <c r="C13" s="283"/>
      <c r="I13" s="41"/>
      <c r="J13" s="283" t="s">
        <v>96</v>
      </c>
      <c r="K13" s="283"/>
      <c r="L13" s="15"/>
      <c r="M13" s="16"/>
      <c r="N13" s="17"/>
      <c r="O13" s="17"/>
      <c r="P13" s="17"/>
    </row>
    <row r="14" spans="2:29" s="11" customFormat="1" ht="21" customHeight="1">
      <c r="I14" s="41"/>
      <c r="K14" s="14"/>
      <c r="L14" s="15"/>
      <c r="M14" s="16"/>
      <c r="N14" s="17"/>
      <c r="O14" s="17"/>
      <c r="P14" s="17"/>
    </row>
    <row r="15" spans="2:29" s="11" customFormat="1" ht="21" customHeight="1">
      <c r="I15" s="41"/>
      <c r="K15" s="14"/>
      <c r="L15" s="15"/>
      <c r="M15" s="16"/>
      <c r="N15" s="17"/>
      <c r="O15" s="17"/>
      <c r="P15" s="17"/>
    </row>
    <row r="16" spans="2:29" s="11" customFormat="1" ht="21" customHeight="1">
      <c r="I16" s="41"/>
      <c r="K16" s="14"/>
      <c r="L16" s="15"/>
      <c r="M16" s="16"/>
      <c r="N16" s="17"/>
      <c r="O16" s="17"/>
      <c r="P16" s="17"/>
    </row>
    <row r="17" spans="2:16" s="11" customFormat="1" ht="21" customHeight="1">
      <c r="I17" s="41"/>
      <c r="K17" s="14"/>
      <c r="L17" s="15"/>
      <c r="M17" s="16"/>
      <c r="N17" s="17"/>
      <c r="O17" s="17"/>
      <c r="P17" s="17"/>
    </row>
    <row r="18" spans="2:16" s="11" customFormat="1" ht="21" customHeight="1">
      <c r="I18" s="41"/>
      <c r="K18" s="14"/>
      <c r="L18" s="15"/>
      <c r="M18" s="16"/>
      <c r="N18" s="17"/>
      <c r="O18" s="17"/>
      <c r="P18" s="17"/>
    </row>
    <row r="19" spans="2:16" s="11" customFormat="1" ht="21" customHeight="1">
      <c r="I19" s="41"/>
      <c r="K19" s="14"/>
      <c r="L19" s="15"/>
      <c r="M19" s="16"/>
      <c r="N19" s="17"/>
      <c r="O19" s="17"/>
      <c r="P19" s="17"/>
    </row>
    <row r="20" spans="2:16" s="11" customFormat="1" ht="21" customHeight="1">
      <c r="I20" s="41"/>
      <c r="K20" s="14"/>
      <c r="L20" s="15"/>
      <c r="M20" s="16"/>
      <c r="N20" s="17"/>
      <c r="O20" s="17"/>
      <c r="P20" s="17"/>
    </row>
    <row r="21" spans="2:16" s="11" customFormat="1" ht="21" customHeight="1">
      <c r="I21" s="41"/>
      <c r="K21" s="14"/>
      <c r="L21" s="15"/>
      <c r="M21" s="16"/>
      <c r="N21" s="17"/>
      <c r="O21" s="17"/>
      <c r="P21" s="17"/>
    </row>
    <row r="22" spans="2:16" s="11" customFormat="1" ht="21" customHeight="1">
      <c r="I22" s="41"/>
      <c r="K22" s="14"/>
      <c r="L22" s="15"/>
      <c r="M22" s="16"/>
      <c r="N22" s="17"/>
      <c r="O22" s="17"/>
      <c r="P22" s="17"/>
    </row>
    <row r="23" spans="2:16" s="11" customFormat="1" ht="21" customHeight="1">
      <c r="B23" s="283" t="s">
        <v>97</v>
      </c>
      <c r="C23" s="283"/>
      <c r="I23" s="41"/>
      <c r="J23" s="283" t="s">
        <v>99</v>
      </c>
      <c r="K23" s="283"/>
      <c r="L23" s="15"/>
      <c r="M23" s="16"/>
      <c r="N23" s="17"/>
      <c r="O23" s="17"/>
      <c r="P23" s="17"/>
    </row>
    <row r="24" spans="2:16" s="11" customFormat="1" ht="21" customHeight="1">
      <c r="I24" s="41"/>
      <c r="K24" s="14"/>
      <c r="L24" s="15"/>
      <c r="M24" s="16"/>
      <c r="N24" s="17"/>
      <c r="O24" s="17"/>
      <c r="P24" s="17"/>
    </row>
    <row r="25" spans="2:16" s="11" customFormat="1" ht="21" customHeight="1">
      <c r="I25" s="41"/>
      <c r="K25" s="14"/>
      <c r="L25" s="15"/>
      <c r="M25" s="16"/>
      <c r="N25" s="17"/>
      <c r="O25" s="17"/>
      <c r="P25" s="17"/>
    </row>
    <row r="26" spans="2:16" s="11" customFormat="1" ht="21" customHeight="1">
      <c r="I26" s="41"/>
      <c r="K26" s="14"/>
      <c r="L26" s="15"/>
      <c r="M26" s="16"/>
      <c r="N26" s="17"/>
      <c r="O26" s="17"/>
      <c r="P26" s="17"/>
    </row>
    <row r="27" spans="2:16" s="11" customFormat="1" ht="21" customHeight="1">
      <c r="I27" s="41"/>
      <c r="K27" s="14"/>
      <c r="L27" s="15"/>
      <c r="M27" s="16"/>
      <c r="N27" s="17"/>
      <c r="O27" s="17"/>
      <c r="P27" s="17"/>
    </row>
    <row r="28" spans="2:16" s="11" customFormat="1" ht="21" customHeight="1">
      <c r="I28" s="41"/>
      <c r="K28" s="14"/>
      <c r="L28" s="15"/>
      <c r="M28" s="16"/>
      <c r="N28" s="17"/>
      <c r="O28" s="17"/>
      <c r="P28" s="17"/>
    </row>
    <row r="29" spans="2:16" s="11" customFormat="1" ht="21" customHeight="1">
      <c r="I29" s="41"/>
      <c r="K29" s="14"/>
      <c r="L29" s="15"/>
      <c r="M29" s="16"/>
      <c r="N29" s="17"/>
      <c r="O29" s="17"/>
      <c r="P29" s="17"/>
    </row>
    <row r="30" spans="2:16" s="11" customFormat="1" ht="21" customHeight="1">
      <c r="I30" s="41"/>
      <c r="K30" s="14"/>
      <c r="L30" s="15"/>
      <c r="M30" s="16"/>
      <c r="N30" s="17"/>
      <c r="O30" s="17"/>
      <c r="P30" s="17"/>
    </row>
    <row r="31" spans="2:16" s="11" customFormat="1" ht="21" customHeight="1">
      <c r="I31" s="41"/>
      <c r="K31" s="14"/>
      <c r="L31" s="15"/>
      <c r="M31" s="16"/>
      <c r="N31" s="17"/>
      <c r="O31" s="17"/>
      <c r="P31" s="17"/>
    </row>
    <row r="32" spans="2:16" ht="21" customHeight="1"/>
  </sheetData>
  <mergeCells count="10">
    <mergeCell ref="B3:P3"/>
    <mergeCell ref="B13:C13"/>
    <mergeCell ref="J13:K13"/>
    <mergeCell ref="B23:C23"/>
    <mergeCell ref="B12:D12"/>
    <mergeCell ref="J23:K23"/>
    <mergeCell ref="G5:H5"/>
    <mergeCell ref="O5:P5"/>
    <mergeCell ref="G8:H8"/>
    <mergeCell ref="O8:P8"/>
  </mergeCells>
  <phoneticPr fontId="21" type="noConversion"/>
  <pageMargins left="0.8" right="0.51181102362204722" top="1.36" bottom="0.98425196850393704" header="0.51181102362204722" footer="0.51181102362204722"/>
  <pageSetup paperSize="9" scale="6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44"/>
  <sheetViews>
    <sheetView showGridLines="0" topLeftCell="A4" zoomScale="95" zoomScaleNormal="95" workbookViewId="0">
      <selection activeCell="F23" sqref="F23"/>
    </sheetView>
  </sheetViews>
  <sheetFormatPr defaultColWidth="10" defaultRowHeight="13.5"/>
  <cols>
    <col min="1" max="1" width="3.625" style="19" customWidth="1"/>
    <col min="2" max="2" width="17.25" style="27" bestFit="1" customWidth="1"/>
    <col min="3" max="4" width="12.625" style="19" customWidth="1"/>
    <col min="5" max="5" width="12.625" style="27" customWidth="1"/>
    <col min="6" max="6" width="12.625" style="173" customWidth="1"/>
    <col min="7" max="7" width="12.625" style="168" customWidth="1"/>
    <col min="8" max="8" width="13.5" style="168" customWidth="1"/>
    <col min="9" max="9" width="12.625" style="158" customWidth="1"/>
    <col min="10" max="12" width="12.625" style="19" customWidth="1"/>
    <col min="13" max="14" width="10" style="19"/>
    <col min="15" max="15" width="0" style="19" hidden="1" customWidth="1"/>
    <col min="16" max="16" width="10.25" style="19" bestFit="1" customWidth="1"/>
    <col min="17" max="17" width="11.5" style="19" bestFit="1" customWidth="1"/>
    <col min="18" max="18" width="10.25" style="19" bestFit="1" customWidth="1"/>
    <col min="19" max="19" width="11.25" style="19" bestFit="1" customWidth="1"/>
    <col min="20" max="20" width="7.75" style="19" customWidth="1"/>
    <col min="21" max="21" width="6.875" style="19" customWidth="1"/>
    <col min="22" max="16384" width="10" style="19"/>
  </cols>
  <sheetData>
    <row r="1" spans="1:35" customFormat="1" ht="13.5" customHeight="1">
      <c r="B1" s="36"/>
      <c r="F1" s="172"/>
      <c r="G1" s="159"/>
      <c r="H1" s="160"/>
      <c r="I1" s="155"/>
    </row>
    <row r="2" spans="1:35" customFormat="1" ht="13.5" customHeight="1">
      <c r="B2" s="35"/>
      <c r="C2" s="34"/>
      <c r="D2" s="34"/>
      <c r="E2" s="34"/>
      <c r="F2" s="173"/>
      <c r="G2" s="161"/>
      <c r="H2" s="161"/>
      <c r="I2" s="156"/>
      <c r="J2" s="34"/>
      <c r="K2" s="34"/>
      <c r="L2" s="34"/>
    </row>
    <row r="3" spans="1:35" customFormat="1" ht="42.95" customHeight="1">
      <c r="B3" s="278" t="s">
        <v>110</v>
      </c>
      <c r="C3" s="279"/>
      <c r="D3" s="279"/>
      <c r="E3" s="279"/>
      <c r="F3" s="279"/>
      <c r="G3" s="279"/>
      <c r="H3" s="279"/>
      <c r="I3" s="279"/>
      <c r="J3" s="279"/>
      <c r="K3" s="279"/>
      <c r="L3" s="280"/>
    </row>
    <row r="4" spans="1:35" ht="13.5" customHeight="1">
      <c r="A4" s="20"/>
      <c r="C4" s="23"/>
      <c r="D4" s="23"/>
      <c r="E4" s="26"/>
      <c r="F4" s="174"/>
      <c r="G4" s="162"/>
      <c r="H4" s="163"/>
      <c r="I4" s="157"/>
    </row>
    <row r="5" spans="1:35" ht="13.5" customHeight="1">
      <c r="A5" s="20"/>
      <c r="C5" s="23"/>
      <c r="D5" s="23"/>
      <c r="E5" s="26"/>
      <c r="F5" s="174"/>
      <c r="G5" s="162"/>
      <c r="H5" s="163"/>
      <c r="I5" s="157"/>
    </row>
    <row r="6" spans="1:35" ht="21.95" customHeight="1">
      <c r="B6" s="288" t="s">
        <v>23</v>
      </c>
      <c r="C6" s="295" t="s">
        <v>24</v>
      </c>
      <c r="D6" s="293" t="s">
        <v>102</v>
      </c>
      <c r="E6" s="293"/>
      <c r="F6" s="293"/>
      <c r="G6" s="297" t="s">
        <v>103</v>
      </c>
      <c r="H6" s="297"/>
      <c r="I6" s="293" t="s">
        <v>25</v>
      </c>
      <c r="J6" s="293"/>
      <c r="K6" s="293"/>
      <c r="L6" s="294"/>
      <c r="X6" s="19" t="s">
        <v>84</v>
      </c>
    </row>
    <row r="7" spans="1:35" ht="21.95" customHeight="1" thickBot="1">
      <c r="B7" s="289"/>
      <c r="C7" s="296"/>
      <c r="D7" s="106" t="s">
        <v>26</v>
      </c>
      <c r="E7" s="106" t="str">
        <f>통계요약!F7</f>
        <v>7월(A)</v>
      </c>
      <c r="F7" s="175" t="str">
        <f>통계요약!G7</f>
        <v xml:space="preserve">7월누계(B) </v>
      </c>
      <c r="G7" s="164" t="str">
        <f>통계요약!H7</f>
        <v>7월(C)</v>
      </c>
      <c r="H7" s="165" t="str">
        <f>통계요약!I7</f>
        <v xml:space="preserve">7월누계(D) </v>
      </c>
      <c r="I7" s="106" t="s">
        <v>27</v>
      </c>
      <c r="J7" s="107" t="s">
        <v>28</v>
      </c>
      <c r="K7" s="108" t="s">
        <v>29</v>
      </c>
      <c r="L7" s="109" t="s">
        <v>28</v>
      </c>
    </row>
    <row r="8" spans="1:35" ht="21.95" customHeight="1">
      <c r="B8" s="290" t="s">
        <v>30</v>
      </c>
      <c r="C8" s="110" t="s">
        <v>31</v>
      </c>
      <c r="D8" s="111">
        <f>SUM(D10,D12,D14,D16,D18,D20,D22,D26,D24,D30,D32,D34,D36,D28)</f>
        <v>956013</v>
      </c>
      <c r="E8" s="111">
        <f>SUM(E10,E12,E14,E16,E18,E20,E22,E26,E24,E30,E32,E34,E36,E28)</f>
        <v>83268</v>
      </c>
      <c r="F8" s="176">
        <f>SUM(F10,F12,F14,F16,F18,F20,F22,F26,F24,F30,F32,F34,F36,F28)</f>
        <v>544850</v>
      </c>
      <c r="G8" s="111">
        <f>SUM(G10,G12,G14,G16,G18,G20,G22,G26,G24,G28,G32,G34,G36,G30)</f>
        <v>90418</v>
      </c>
      <c r="H8" s="170">
        <f>SUM(H10,H12,H14,H16,H18,H20,H22,H26,H24,H30,H32,H34,H36,H28,)</f>
        <v>600347</v>
      </c>
      <c r="I8" s="112">
        <f t="shared" ref="I8:I9" si="0">G8-E8</f>
        <v>7150</v>
      </c>
      <c r="J8" s="113">
        <f t="shared" ref="J8:J9" si="1">(G8/E8*100)-100</f>
        <v>8.5867319978863321</v>
      </c>
      <c r="K8" s="114">
        <f t="shared" ref="K8:K9" si="2">H8-F8</f>
        <v>55497</v>
      </c>
      <c r="L8" s="115">
        <f t="shared" ref="L8:L9" si="3">(H8/F8*100)-100</f>
        <v>10.185739194273651</v>
      </c>
    </row>
    <row r="9" spans="1:35" ht="21.95" customHeight="1" thickBot="1">
      <c r="B9" s="291"/>
      <c r="C9" s="116" t="s">
        <v>32</v>
      </c>
      <c r="D9" s="117">
        <f>SUM(D11,D13,D15,D17,D19,D21,D23,D25,D27,D31,D33,D35,D37,D29)</f>
        <v>14612972</v>
      </c>
      <c r="E9" s="117">
        <f>SUM(E11,E13,E15,E17,E19,E21,E23,E25,E27,E31,E33,E35,E37,E29)</f>
        <v>1233559</v>
      </c>
      <c r="F9" s="177">
        <f>SUM(F11,F13,F15,F17,F19,F21,F23,F25,F27,F31,F33,F35,F37,F29)</f>
        <v>8331922</v>
      </c>
      <c r="G9" s="117">
        <f>SUM(G11,G13,G15,G17,G19,G21,G23,G25,G27,G29,G33,G35,G37,G31)</f>
        <v>1343538</v>
      </c>
      <c r="H9" s="171">
        <f>SUM(H11,H13,H15,H17,H19,H21,H23,H25,H27,H31,H33,H35,H37,H29)</f>
        <v>9090823</v>
      </c>
      <c r="I9" s="118">
        <f t="shared" si="0"/>
        <v>109979</v>
      </c>
      <c r="J9" s="119">
        <f t="shared" si="1"/>
        <v>8.9155849051403209</v>
      </c>
      <c r="K9" s="120">
        <f t="shared" si="2"/>
        <v>758901</v>
      </c>
      <c r="L9" s="121">
        <f t="shared" si="3"/>
        <v>9.1083545909335157</v>
      </c>
    </row>
    <row r="10" spans="1:35" ht="21.2" customHeight="1">
      <c r="B10" s="292" t="s">
        <v>33</v>
      </c>
      <c r="C10" s="137" t="s">
        <v>31</v>
      </c>
      <c r="D10" s="238">
        <v>13137</v>
      </c>
      <c r="E10" s="249"/>
      <c r="F10" s="249">
        <f>4604+8533</f>
        <v>13137</v>
      </c>
      <c r="G10" s="249"/>
      <c r="H10" s="249"/>
      <c r="I10" s="146">
        <f>IFERROR(G10-E10,"-")</f>
        <v>0</v>
      </c>
      <c r="J10" s="138" t="str">
        <f>IFERROR((G10/E10*100)-100,"-")</f>
        <v>-</v>
      </c>
      <c r="K10" s="139">
        <f>IFERROR(H10-F10,"-")</f>
        <v>-13137</v>
      </c>
      <c r="L10" s="140">
        <f>IFERROR((H10/F10*100)-100,"-")</f>
        <v>-100</v>
      </c>
      <c r="M10" s="25"/>
      <c r="O10" s="19" t="s">
        <v>51</v>
      </c>
      <c r="U10" s="136"/>
      <c r="V10" s="136"/>
    </row>
    <row r="11" spans="1:35" ht="21.2" customHeight="1" thickBot="1">
      <c r="B11" s="286"/>
      <c r="C11" s="142" t="s">
        <v>32</v>
      </c>
      <c r="D11" s="245">
        <v>237788</v>
      </c>
      <c r="E11" s="246"/>
      <c r="F11" s="246">
        <f>83983+153805</f>
        <v>237788</v>
      </c>
      <c r="G11" s="246"/>
      <c r="H11" s="246"/>
      <c r="I11" s="147">
        <f t="shared" ref="I11:I12" si="4">IFERROR(G11-E11,"-")</f>
        <v>0</v>
      </c>
      <c r="J11" s="143" t="str">
        <f t="shared" ref="J11:J37" si="5">IFERROR((G11/E11*100)-100,"-")</f>
        <v>-</v>
      </c>
      <c r="K11" s="144">
        <f t="shared" ref="K11:K37" si="6">IFERROR(H11-F11,"-")</f>
        <v>-237788</v>
      </c>
      <c r="L11" s="145">
        <f t="shared" ref="L11:L37" si="7">IFERROR((H11/F11*100)-100,"-")</f>
        <v>-100</v>
      </c>
      <c r="O11" s="19" t="s">
        <v>51</v>
      </c>
      <c r="U11" s="136"/>
      <c r="V11" s="136"/>
    </row>
    <row r="12" spans="1:35" ht="21.2" customHeight="1">
      <c r="B12" s="286" t="s">
        <v>34</v>
      </c>
      <c r="C12" s="122" t="s">
        <v>31</v>
      </c>
      <c r="D12" s="239">
        <v>82034</v>
      </c>
      <c r="E12" s="250">
        <v>8256</v>
      </c>
      <c r="F12" s="250">
        <v>45981</v>
      </c>
      <c r="G12" s="249">
        <v>7689</v>
      </c>
      <c r="H12" s="249">
        <f>7935+12462+7522+7148+7715+7689</f>
        <v>50471</v>
      </c>
      <c r="I12" s="148">
        <f t="shared" si="4"/>
        <v>-567</v>
      </c>
      <c r="J12" s="123">
        <f t="shared" si="5"/>
        <v>-6.8677325581395365</v>
      </c>
      <c r="K12" s="124">
        <f t="shared" si="6"/>
        <v>4490</v>
      </c>
      <c r="L12" s="125">
        <f t="shared" si="7"/>
        <v>9.7649028946738952</v>
      </c>
      <c r="O12" s="19" t="s">
        <v>52</v>
      </c>
      <c r="U12" s="136"/>
      <c r="V12" s="136"/>
      <c r="AC12" s="29" t="s">
        <v>77</v>
      </c>
      <c r="AD12" s="29" t="s">
        <v>78</v>
      </c>
      <c r="AE12" s="29" t="s">
        <v>79</v>
      </c>
      <c r="AF12" s="29" t="s">
        <v>80</v>
      </c>
      <c r="AG12" s="29" t="s">
        <v>81</v>
      </c>
    </row>
    <row r="13" spans="1:35" ht="21.2" customHeight="1">
      <c r="B13" s="286"/>
      <c r="C13" s="142" t="s">
        <v>32</v>
      </c>
      <c r="D13" s="245">
        <v>1335135</v>
      </c>
      <c r="E13" s="246">
        <v>132947</v>
      </c>
      <c r="F13" s="246">
        <v>735756</v>
      </c>
      <c r="G13" s="246">
        <v>130372</v>
      </c>
      <c r="H13" s="246">
        <f>130126+212751+127039+122227+132354+130372</f>
        <v>854869</v>
      </c>
      <c r="I13" s="147">
        <f>IFERROR(G13-E13,"-")</f>
        <v>-2575</v>
      </c>
      <c r="J13" s="143">
        <f t="shared" si="5"/>
        <v>-1.9368620578125189</v>
      </c>
      <c r="K13" s="144">
        <f t="shared" si="6"/>
        <v>119113</v>
      </c>
      <c r="L13" s="145">
        <f t="shared" si="7"/>
        <v>16.189198593011824</v>
      </c>
      <c r="O13" s="19" t="s">
        <v>52</v>
      </c>
      <c r="U13" s="136"/>
      <c r="V13" s="136"/>
      <c r="AC13" s="28" t="s">
        <v>82</v>
      </c>
      <c r="AD13" s="30">
        <f>E10+E12</f>
        <v>8256</v>
      </c>
      <c r="AE13" s="30">
        <f>F10+F12</f>
        <v>59118</v>
      </c>
      <c r="AF13" s="30">
        <f>G10+G12</f>
        <v>7689</v>
      </c>
      <c r="AG13" s="30">
        <f>H10+H12</f>
        <v>50471</v>
      </c>
      <c r="AH13" s="31">
        <f t="shared" ref="AH13:AI15" si="8">(AF13/AD13*100)-100</f>
        <v>-6.8677325581395365</v>
      </c>
      <c r="AI13" s="31">
        <f t="shared" si="8"/>
        <v>-14.626678845698436</v>
      </c>
    </row>
    <row r="14" spans="1:35" ht="21.2" customHeight="1">
      <c r="B14" s="286" t="s">
        <v>72</v>
      </c>
      <c r="C14" s="122" t="s">
        <v>31</v>
      </c>
      <c r="D14" s="239"/>
      <c r="E14" s="232"/>
      <c r="F14" s="226"/>
      <c r="G14" s="178"/>
      <c r="H14" s="126"/>
      <c r="I14" s="179">
        <f>IFERROR(G14-E14,"-")</f>
        <v>0</v>
      </c>
      <c r="J14" s="123" t="str">
        <f t="shared" si="5"/>
        <v>-</v>
      </c>
      <c r="K14" s="124">
        <f t="shared" si="6"/>
        <v>0</v>
      </c>
      <c r="L14" s="125" t="str">
        <f t="shared" si="7"/>
        <v>-</v>
      </c>
      <c r="O14" s="19" t="s">
        <v>73</v>
      </c>
      <c r="U14" s="136"/>
      <c r="V14" s="136"/>
      <c r="AC14" s="28" t="s">
        <v>83</v>
      </c>
      <c r="AD14" s="30">
        <f>E18+E20+E22</f>
        <v>46042</v>
      </c>
      <c r="AE14" s="30">
        <f>F18+F20+F22</f>
        <v>298232</v>
      </c>
      <c r="AF14" s="30">
        <f>G18+G20+G22</f>
        <v>50183</v>
      </c>
      <c r="AG14" s="30">
        <f>H18+H20+H22</f>
        <v>339111</v>
      </c>
      <c r="AH14" s="31">
        <f t="shared" si="8"/>
        <v>8.9939620346640083</v>
      </c>
      <c r="AI14" s="31">
        <f t="shared" si="8"/>
        <v>13.70711392472974</v>
      </c>
    </row>
    <row r="15" spans="1:35" ht="21.2" customHeight="1">
      <c r="B15" s="286"/>
      <c r="C15" s="97" t="s">
        <v>32</v>
      </c>
      <c r="D15" s="236"/>
      <c r="E15" s="229"/>
      <c r="F15" s="229"/>
      <c r="G15" s="149"/>
      <c r="H15" s="149"/>
      <c r="I15" s="147">
        <f t="shared" ref="I15:I37" si="9">IFERROR(G15-E15,"-")</f>
        <v>0</v>
      </c>
      <c r="J15" s="98" t="str">
        <f t="shared" si="5"/>
        <v>-</v>
      </c>
      <c r="K15" s="99">
        <f t="shared" si="6"/>
        <v>0</v>
      </c>
      <c r="L15" s="101" t="str">
        <f t="shared" si="7"/>
        <v>-</v>
      </c>
      <c r="O15" s="19" t="s">
        <v>73</v>
      </c>
      <c r="AC15" s="28" t="s">
        <v>76</v>
      </c>
      <c r="AD15" s="30">
        <f>E32+E34+E36</f>
        <v>28969</v>
      </c>
      <c r="AE15" s="30">
        <f>F32+F34+F36</f>
        <v>187499</v>
      </c>
      <c r="AF15" s="30">
        <f>G32+G34+G36</f>
        <v>32546</v>
      </c>
      <c r="AG15" s="30">
        <f>H32+H34+H36</f>
        <v>210763</v>
      </c>
      <c r="AH15" s="31">
        <f t="shared" si="8"/>
        <v>12.347682004901799</v>
      </c>
      <c r="AI15" s="31">
        <f t="shared" si="8"/>
        <v>12.407532840175151</v>
      </c>
    </row>
    <row r="16" spans="1:35" ht="21.2" customHeight="1">
      <c r="B16" s="286" t="s">
        <v>46</v>
      </c>
      <c r="C16" s="122" t="s">
        <v>31</v>
      </c>
      <c r="D16" s="235"/>
      <c r="E16" s="232"/>
      <c r="F16" s="230"/>
      <c r="G16" s="178"/>
      <c r="H16" s="166"/>
      <c r="I16" s="179">
        <f t="shared" si="9"/>
        <v>0</v>
      </c>
      <c r="J16" s="123" t="str">
        <f t="shared" si="5"/>
        <v>-</v>
      </c>
      <c r="K16" s="124">
        <f t="shared" si="6"/>
        <v>0</v>
      </c>
      <c r="L16" s="125" t="str">
        <f t="shared" si="7"/>
        <v>-</v>
      </c>
      <c r="O16" s="19" t="s">
        <v>53</v>
      </c>
    </row>
    <row r="17" spans="2:15" ht="21.2" customHeight="1">
      <c r="B17" s="286"/>
      <c r="C17" s="97" t="s">
        <v>45</v>
      </c>
      <c r="D17" s="237"/>
      <c r="E17" s="229"/>
      <c r="F17" s="231"/>
      <c r="G17" s="149"/>
      <c r="H17" s="167"/>
      <c r="I17" s="147">
        <f t="shared" si="9"/>
        <v>0</v>
      </c>
      <c r="J17" s="98" t="str">
        <f t="shared" si="5"/>
        <v>-</v>
      </c>
      <c r="K17" s="99">
        <f t="shared" si="6"/>
        <v>0</v>
      </c>
      <c r="L17" s="101" t="str">
        <f t="shared" si="7"/>
        <v>-</v>
      </c>
      <c r="O17" s="19" t="s">
        <v>53</v>
      </c>
    </row>
    <row r="18" spans="2:15" ht="21.2" customHeight="1">
      <c r="B18" s="286" t="s">
        <v>35</v>
      </c>
      <c r="C18" s="122" t="s">
        <v>31</v>
      </c>
      <c r="D18" s="239">
        <v>181979</v>
      </c>
      <c r="E18" s="247">
        <v>14318</v>
      </c>
      <c r="F18" s="251">
        <v>108490</v>
      </c>
      <c r="G18" s="247">
        <v>12429</v>
      </c>
      <c r="H18" s="251">
        <f>17532+23220+9789+18101+18374+12429</f>
        <v>99445</v>
      </c>
      <c r="I18" s="179">
        <f t="shared" si="9"/>
        <v>-1889</v>
      </c>
      <c r="J18" s="123">
        <f t="shared" si="5"/>
        <v>-13.193183405503561</v>
      </c>
      <c r="K18" s="124">
        <f t="shared" si="6"/>
        <v>-9045</v>
      </c>
      <c r="L18" s="125">
        <f t="shared" si="7"/>
        <v>-8.3371739330813881</v>
      </c>
      <c r="M18" s="25"/>
      <c r="O18" s="19" t="s">
        <v>54</v>
      </c>
    </row>
    <row r="19" spans="2:15" ht="21.2" customHeight="1">
      <c r="B19" s="286"/>
      <c r="C19" s="97" t="s">
        <v>32</v>
      </c>
      <c r="D19" s="245">
        <v>2717035</v>
      </c>
      <c r="E19" s="248">
        <v>208323</v>
      </c>
      <c r="F19" s="246">
        <v>1534524</v>
      </c>
      <c r="G19" s="248">
        <v>200782</v>
      </c>
      <c r="H19" s="246">
        <f>262160+406808+151179+300124+258615+200782</f>
        <v>1579668</v>
      </c>
      <c r="I19" s="147">
        <f t="shared" si="9"/>
        <v>-7541</v>
      </c>
      <c r="J19" s="98">
        <f t="shared" si="5"/>
        <v>-3.6198595450334352</v>
      </c>
      <c r="K19" s="99">
        <f t="shared" si="6"/>
        <v>45144</v>
      </c>
      <c r="L19" s="101">
        <f t="shared" si="7"/>
        <v>2.941889471914422</v>
      </c>
      <c r="O19" s="19" t="s">
        <v>55</v>
      </c>
    </row>
    <row r="20" spans="2:15" ht="21.2" customHeight="1">
      <c r="B20" s="286" t="s">
        <v>42</v>
      </c>
      <c r="C20" s="122" t="s">
        <v>31</v>
      </c>
      <c r="D20" s="239">
        <v>205857</v>
      </c>
      <c r="E20" s="247">
        <v>20310</v>
      </c>
      <c r="F20" s="251">
        <v>112091</v>
      </c>
      <c r="G20" s="247">
        <v>21175</v>
      </c>
      <c r="H20" s="251">
        <f>24354+40408+21601+21109+19765+21175</f>
        <v>148412</v>
      </c>
      <c r="I20" s="179">
        <f t="shared" si="9"/>
        <v>865</v>
      </c>
      <c r="J20" s="123">
        <f t="shared" si="5"/>
        <v>4.2589857213195472</v>
      </c>
      <c r="K20" s="124">
        <f t="shared" si="6"/>
        <v>36321</v>
      </c>
      <c r="L20" s="125">
        <f t="shared" si="7"/>
        <v>32.403136737115403</v>
      </c>
      <c r="O20" s="19" t="s">
        <v>56</v>
      </c>
    </row>
    <row r="21" spans="2:15" ht="21.2" customHeight="1">
      <c r="B21" s="286"/>
      <c r="C21" s="97" t="s">
        <v>32</v>
      </c>
      <c r="D21" s="245">
        <v>3404457</v>
      </c>
      <c r="E21" s="248">
        <v>340043</v>
      </c>
      <c r="F21" s="246">
        <v>1933521</v>
      </c>
      <c r="G21" s="248">
        <v>291725</v>
      </c>
      <c r="H21" s="246">
        <f>316776+659004+345002+303997+324069+291725</f>
        <v>2240573</v>
      </c>
      <c r="I21" s="147">
        <f t="shared" si="9"/>
        <v>-48318</v>
      </c>
      <c r="J21" s="98">
        <f t="shared" si="5"/>
        <v>-14.209379402016808</v>
      </c>
      <c r="K21" s="99">
        <f t="shared" si="6"/>
        <v>307052</v>
      </c>
      <c r="L21" s="101">
        <f t="shared" si="7"/>
        <v>15.880458500321424</v>
      </c>
      <c r="O21" s="19" t="s">
        <v>57</v>
      </c>
    </row>
    <row r="22" spans="2:15" ht="21.2" customHeight="1">
      <c r="B22" s="286" t="s">
        <v>36</v>
      </c>
      <c r="C22" s="122" t="s">
        <v>31</v>
      </c>
      <c r="D22" s="239">
        <v>127096</v>
      </c>
      <c r="E22" s="247">
        <v>11414</v>
      </c>
      <c r="F22" s="251">
        <v>77651</v>
      </c>
      <c r="G22" s="247">
        <v>16579</v>
      </c>
      <c r="H22" s="251">
        <f>10021+20467+18927+11591+13669+16579</f>
        <v>91254</v>
      </c>
      <c r="I22" s="179">
        <f t="shared" si="9"/>
        <v>5165</v>
      </c>
      <c r="J22" s="123">
        <f t="shared" si="5"/>
        <v>45.251445593131223</v>
      </c>
      <c r="K22" s="124">
        <f t="shared" si="6"/>
        <v>13603</v>
      </c>
      <c r="L22" s="125">
        <f>IFERROR((H22/F22*100)-100,"-")</f>
        <v>17.518125973908894</v>
      </c>
      <c r="O22" s="19" t="s">
        <v>58</v>
      </c>
    </row>
    <row r="23" spans="2:15" ht="21.2" customHeight="1">
      <c r="B23" s="286"/>
      <c r="C23" s="97" t="s">
        <v>32</v>
      </c>
      <c r="D23" s="245">
        <v>2031990</v>
      </c>
      <c r="E23" s="248">
        <v>173480</v>
      </c>
      <c r="F23" s="246">
        <v>1225121</v>
      </c>
      <c r="G23" s="248">
        <v>255596</v>
      </c>
      <c r="H23" s="246">
        <f>174743+284966+290247+195240+217857+255596</f>
        <v>1418649</v>
      </c>
      <c r="I23" s="147">
        <f t="shared" si="9"/>
        <v>82116</v>
      </c>
      <c r="J23" s="98">
        <f t="shared" si="5"/>
        <v>47.334563062024444</v>
      </c>
      <c r="K23" s="99">
        <f t="shared" si="6"/>
        <v>193528</v>
      </c>
      <c r="L23" s="101">
        <f t="shared" si="7"/>
        <v>15.796643760085743</v>
      </c>
      <c r="O23" s="19" t="s">
        <v>59</v>
      </c>
    </row>
    <row r="24" spans="2:15" ht="21.2" customHeight="1">
      <c r="B24" s="286" t="s">
        <v>48</v>
      </c>
      <c r="C24" s="122" t="s">
        <v>31</v>
      </c>
      <c r="D24" s="235"/>
      <c r="E24" s="232"/>
      <c r="F24" s="230"/>
      <c r="G24" s="178"/>
      <c r="H24" s="166"/>
      <c r="I24" s="179">
        <f t="shared" si="9"/>
        <v>0</v>
      </c>
      <c r="J24" s="123" t="str">
        <f>IFERROR((G24/E24*100)-100,"-")</f>
        <v>-</v>
      </c>
      <c r="K24" s="124">
        <f t="shared" si="6"/>
        <v>0</v>
      </c>
      <c r="L24" s="125" t="str">
        <f t="shared" si="7"/>
        <v>-</v>
      </c>
      <c r="O24" s="19" t="s">
        <v>60</v>
      </c>
    </row>
    <row r="25" spans="2:15" ht="21.2" customHeight="1">
      <c r="B25" s="286"/>
      <c r="C25" s="100" t="s">
        <v>32</v>
      </c>
      <c r="D25" s="237"/>
      <c r="E25" s="229"/>
      <c r="F25" s="231"/>
      <c r="G25" s="149"/>
      <c r="H25" s="167"/>
      <c r="I25" s="147">
        <f t="shared" si="9"/>
        <v>0</v>
      </c>
      <c r="J25" s="98" t="str">
        <f>IFERROR((G25/E25*100)-100,"-")</f>
        <v>-</v>
      </c>
      <c r="K25" s="99">
        <f t="shared" si="6"/>
        <v>0</v>
      </c>
      <c r="L25" s="101" t="str">
        <f t="shared" si="7"/>
        <v>-</v>
      </c>
      <c r="O25" s="19" t="s">
        <v>61</v>
      </c>
    </row>
    <row r="26" spans="2:15" ht="21.2" customHeight="1">
      <c r="B26" s="286" t="s">
        <v>71</v>
      </c>
      <c r="C26" s="122" t="s">
        <v>31</v>
      </c>
      <c r="D26" s="235"/>
      <c r="E26" s="232"/>
      <c r="F26" s="226"/>
      <c r="G26" s="178"/>
      <c r="H26" s="126"/>
      <c r="I26" s="179">
        <f t="shared" si="9"/>
        <v>0</v>
      </c>
      <c r="J26" s="123" t="str">
        <f t="shared" si="5"/>
        <v>-</v>
      </c>
      <c r="K26" s="124">
        <f t="shared" si="6"/>
        <v>0</v>
      </c>
      <c r="L26" s="125" t="str">
        <f t="shared" si="7"/>
        <v>-</v>
      </c>
      <c r="O26" s="19" t="s">
        <v>74</v>
      </c>
    </row>
    <row r="27" spans="2:15" ht="21.2" customHeight="1">
      <c r="B27" s="286"/>
      <c r="C27" s="97" t="s">
        <v>32</v>
      </c>
      <c r="D27" s="237"/>
      <c r="E27" s="229"/>
      <c r="F27" s="229"/>
      <c r="G27" s="149"/>
      <c r="H27" s="149"/>
      <c r="I27" s="147">
        <f t="shared" si="9"/>
        <v>0</v>
      </c>
      <c r="J27" s="98" t="str">
        <f t="shared" si="5"/>
        <v>-</v>
      </c>
      <c r="K27" s="99">
        <f t="shared" si="6"/>
        <v>0</v>
      </c>
      <c r="L27" s="101" t="str">
        <f t="shared" si="7"/>
        <v>-</v>
      </c>
      <c r="O27" s="19" t="s">
        <v>74</v>
      </c>
    </row>
    <row r="28" spans="2:15" ht="21.2" customHeight="1">
      <c r="B28" s="286" t="s">
        <v>43</v>
      </c>
      <c r="C28" s="122" t="s">
        <v>44</v>
      </c>
      <c r="D28" s="239"/>
      <c r="E28" s="232"/>
      <c r="F28" s="230"/>
      <c r="G28" s="178"/>
      <c r="H28" s="166"/>
      <c r="I28" s="179">
        <f>IFERROR(G28-E28,"-")</f>
        <v>0</v>
      </c>
      <c r="J28" s="123" t="str">
        <f>IFERROR((#REF!/E28*100)-100,"-")</f>
        <v>-</v>
      </c>
      <c r="K28" s="124">
        <f t="shared" si="6"/>
        <v>0</v>
      </c>
      <c r="L28" s="125" t="str">
        <f>IFERROR((H28/F28*100)-100,"-")</f>
        <v>-</v>
      </c>
      <c r="O28" s="19" t="s">
        <v>62</v>
      </c>
    </row>
    <row r="29" spans="2:15" ht="21.2" customHeight="1">
      <c r="B29" s="286"/>
      <c r="C29" s="97" t="s">
        <v>45</v>
      </c>
      <c r="D29" s="236"/>
      <c r="E29" s="229"/>
      <c r="F29" s="231"/>
      <c r="G29" s="149"/>
      <c r="H29" s="167"/>
      <c r="I29" s="147">
        <f t="shared" si="9"/>
        <v>0</v>
      </c>
      <c r="J29" s="98" t="str">
        <f>IFERROR((#REF!/E29*100)-100,"-")</f>
        <v>-</v>
      </c>
      <c r="K29" s="99">
        <f t="shared" si="6"/>
        <v>0</v>
      </c>
      <c r="L29" s="101" t="str">
        <f t="shared" si="7"/>
        <v>-</v>
      </c>
      <c r="O29" s="19" t="s">
        <v>62</v>
      </c>
    </row>
    <row r="30" spans="2:15" ht="21.2" customHeight="1">
      <c r="B30" s="286" t="s">
        <v>38</v>
      </c>
      <c r="C30" s="122" t="s">
        <v>31</v>
      </c>
      <c r="D30" s="239">
        <v>1</v>
      </c>
      <c r="E30" s="235">
        <v>1</v>
      </c>
      <c r="F30" s="235">
        <v>1</v>
      </c>
      <c r="G30" s="235"/>
      <c r="H30" s="232">
        <v>2</v>
      </c>
      <c r="I30" s="179">
        <f t="shared" si="9"/>
        <v>-1</v>
      </c>
      <c r="J30" s="123">
        <f>IFERROR((G28/E30*100)-100,"-")</f>
        <v>-100</v>
      </c>
      <c r="K30" s="124">
        <f>IFERROR(H30-F30,"-")</f>
        <v>1</v>
      </c>
      <c r="L30" s="125">
        <f t="shared" si="7"/>
        <v>100</v>
      </c>
      <c r="O30" s="19" t="s">
        <v>63</v>
      </c>
    </row>
    <row r="31" spans="2:15" ht="21.2" customHeight="1">
      <c r="B31" s="286"/>
      <c r="C31" s="97" t="s">
        <v>32</v>
      </c>
      <c r="D31" s="245">
        <v>21</v>
      </c>
      <c r="E31" s="245">
        <v>21</v>
      </c>
      <c r="F31" s="245">
        <v>21</v>
      </c>
      <c r="G31" s="245"/>
      <c r="H31" s="245">
        <v>6</v>
      </c>
      <c r="I31" s="147">
        <f t="shared" si="9"/>
        <v>-21</v>
      </c>
      <c r="J31" s="98">
        <f>IFERROR((G29/E31*100)-100,"-")</f>
        <v>-100</v>
      </c>
      <c r="K31" s="99">
        <f t="shared" si="6"/>
        <v>-15</v>
      </c>
      <c r="L31" s="101">
        <f t="shared" si="7"/>
        <v>-71.428571428571431</v>
      </c>
      <c r="O31" s="19" t="s">
        <v>64</v>
      </c>
    </row>
    <row r="32" spans="2:15" ht="21.2" customHeight="1">
      <c r="B32" s="286" t="s">
        <v>39</v>
      </c>
      <c r="C32" s="122" t="s">
        <v>31</v>
      </c>
      <c r="D32" s="239">
        <v>98749</v>
      </c>
      <c r="E32" s="247">
        <v>9028</v>
      </c>
      <c r="F32" s="251">
        <f>9096+10833+8303+8385+8621+9028</f>
        <v>54266</v>
      </c>
      <c r="G32" s="247">
        <v>8211</v>
      </c>
      <c r="H32" s="251">
        <f>7828+13987+9286+8095+9301+8211</f>
        <v>56708</v>
      </c>
      <c r="I32" s="179">
        <f t="shared" si="9"/>
        <v>-817</v>
      </c>
      <c r="J32" s="123">
        <f t="shared" si="5"/>
        <v>-9.0496233938856818</v>
      </c>
      <c r="K32" s="124">
        <f t="shared" si="6"/>
        <v>2442</v>
      </c>
      <c r="L32" s="125">
        <f t="shared" si="7"/>
        <v>4.5000552832344312</v>
      </c>
      <c r="O32" s="19" t="s">
        <v>65</v>
      </c>
    </row>
    <row r="33" spans="2:15" ht="21.2" customHeight="1">
      <c r="B33" s="286"/>
      <c r="C33" s="97" t="s">
        <v>32</v>
      </c>
      <c r="D33" s="245">
        <v>1508968</v>
      </c>
      <c r="E33" s="248">
        <v>133284</v>
      </c>
      <c r="F33" s="246">
        <f>141396+164363+134564+119281+131911+133284</f>
        <v>824799</v>
      </c>
      <c r="G33" s="248">
        <v>133694</v>
      </c>
      <c r="H33" s="246">
        <f>119119+234949+160152+142449+163405+133694</f>
        <v>953768</v>
      </c>
      <c r="I33" s="147">
        <f t="shared" si="9"/>
        <v>410</v>
      </c>
      <c r="J33" s="98">
        <f t="shared" si="5"/>
        <v>0.30761381711232616</v>
      </c>
      <c r="K33" s="99">
        <f t="shared" si="6"/>
        <v>128969</v>
      </c>
      <c r="L33" s="101">
        <f t="shared" si="7"/>
        <v>15.636415660057779</v>
      </c>
      <c r="O33" s="19" t="s">
        <v>66</v>
      </c>
    </row>
    <row r="34" spans="2:15" ht="21.2" customHeight="1">
      <c r="B34" s="286" t="s">
        <v>40</v>
      </c>
      <c r="C34" s="122" t="s">
        <v>31</v>
      </c>
      <c r="D34" s="239">
        <v>178011</v>
      </c>
      <c r="E34" s="247">
        <v>16381</v>
      </c>
      <c r="F34" s="251">
        <f>14158+23502+15417+13262+14794+16381</f>
        <v>97514</v>
      </c>
      <c r="G34" s="247">
        <v>15317</v>
      </c>
      <c r="H34" s="251">
        <f>15645+25802+11616+15010+13699+15317</f>
        <v>97089</v>
      </c>
      <c r="I34" s="179">
        <f t="shared" si="9"/>
        <v>-1064</v>
      </c>
      <c r="J34" s="123">
        <f t="shared" si="5"/>
        <v>-6.4953299554361763</v>
      </c>
      <c r="K34" s="124">
        <f t="shared" si="6"/>
        <v>-425</v>
      </c>
      <c r="L34" s="125">
        <f t="shared" si="7"/>
        <v>-0.43583485448243664</v>
      </c>
      <c r="O34" s="19" t="s">
        <v>67</v>
      </c>
    </row>
    <row r="35" spans="2:15" ht="21.2" customHeight="1">
      <c r="B35" s="286"/>
      <c r="C35" s="97" t="s">
        <v>32</v>
      </c>
      <c r="D35" s="245">
        <v>2461722</v>
      </c>
      <c r="E35" s="248">
        <v>196552</v>
      </c>
      <c r="F35" s="246">
        <f>203981+347278+210798+186726+206896+196552</f>
        <v>1352231</v>
      </c>
      <c r="G35" s="248">
        <v>234117</v>
      </c>
      <c r="H35" s="246">
        <f>216008+350822+161988+208180+203257+234117</f>
        <v>1374372</v>
      </c>
      <c r="I35" s="147">
        <f t="shared" si="9"/>
        <v>37565</v>
      </c>
      <c r="J35" s="98">
        <f t="shared" si="5"/>
        <v>19.111990720013011</v>
      </c>
      <c r="K35" s="99">
        <f t="shared" si="6"/>
        <v>22141</v>
      </c>
      <c r="L35" s="101">
        <f t="shared" si="7"/>
        <v>1.637368171562386</v>
      </c>
      <c r="O35" s="19" t="s">
        <v>68</v>
      </c>
    </row>
    <row r="36" spans="2:15" ht="21.2" customHeight="1">
      <c r="B36" s="286" t="s">
        <v>41</v>
      </c>
      <c r="C36" s="122" t="s">
        <v>31</v>
      </c>
      <c r="D36" s="239">
        <v>69149</v>
      </c>
      <c r="E36" s="247">
        <v>3560</v>
      </c>
      <c r="F36" s="251">
        <f>3807+9742+6273+6347+5990+3560</f>
        <v>35719</v>
      </c>
      <c r="G36" s="247">
        <v>9018</v>
      </c>
      <c r="H36" s="251">
        <f>6887+10726+12063+8197+10075+9018</f>
        <v>56966</v>
      </c>
      <c r="I36" s="179">
        <f t="shared" si="9"/>
        <v>5458</v>
      </c>
      <c r="J36" s="123">
        <f t="shared" si="5"/>
        <v>153.31460674157302</v>
      </c>
      <c r="K36" s="124">
        <f t="shared" si="6"/>
        <v>21247</v>
      </c>
      <c r="L36" s="125">
        <f t="shared" si="7"/>
        <v>59.483748145244817</v>
      </c>
      <c r="O36" s="19" t="s">
        <v>69</v>
      </c>
    </row>
    <row r="37" spans="2:15" ht="21.2" customHeight="1">
      <c r="B37" s="287"/>
      <c r="C37" s="102" t="s">
        <v>32</v>
      </c>
      <c r="D37" s="240">
        <v>915856</v>
      </c>
      <c r="E37" s="252">
        <v>48909</v>
      </c>
      <c r="F37" s="253">
        <f>60095+125720+87926+80149+85362+48909</f>
        <v>488161</v>
      </c>
      <c r="G37" s="252">
        <v>97252</v>
      </c>
      <c r="H37" s="253">
        <f>85456+123796+143577+97219+121618+97252</f>
        <v>668918</v>
      </c>
      <c r="I37" s="154">
        <f t="shared" si="9"/>
        <v>48343</v>
      </c>
      <c r="J37" s="103">
        <f t="shared" si="5"/>
        <v>98.842748778343434</v>
      </c>
      <c r="K37" s="104">
        <f t="shared" si="6"/>
        <v>180757</v>
      </c>
      <c r="L37" s="105">
        <f t="shared" si="7"/>
        <v>37.028152597196396</v>
      </c>
      <c r="O37" s="19" t="s">
        <v>70</v>
      </c>
    </row>
    <row r="38" spans="2:15" ht="21.2" customHeight="1">
      <c r="E38" s="19"/>
      <c r="H38" s="169"/>
    </row>
    <row r="39" spans="2:15" ht="21.2" customHeight="1">
      <c r="E39" s="19"/>
      <c r="H39" s="169"/>
    </row>
    <row r="40" spans="2:15">
      <c r="E40" s="19"/>
      <c r="H40" s="169"/>
    </row>
    <row r="41" spans="2:15">
      <c r="E41" s="19"/>
      <c r="H41" s="169"/>
    </row>
    <row r="42" spans="2:15">
      <c r="E42" s="19"/>
      <c r="H42" s="169"/>
    </row>
    <row r="43" spans="2:15">
      <c r="E43" s="19"/>
      <c r="H43" s="169"/>
    </row>
    <row r="44" spans="2:15">
      <c r="E44" s="19"/>
      <c r="H44" s="169"/>
    </row>
  </sheetData>
  <mergeCells count="21">
    <mergeCell ref="B3:L3"/>
    <mergeCell ref="B6:B7"/>
    <mergeCell ref="B8:B9"/>
    <mergeCell ref="B10:B11"/>
    <mergeCell ref="I6:L6"/>
    <mergeCell ref="C6:C7"/>
    <mergeCell ref="G6:H6"/>
    <mergeCell ref="D6:F6"/>
    <mergeCell ref="B28:B29"/>
    <mergeCell ref="B30:B31"/>
    <mergeCell ref="B32:B33"/>
    <mergeCell ref="B34:B35"/>
    <mergeCell ref="B36:B37"/>
    <mergeCell ref="B22:B23"/>
    <mergeCell ref="B24:B25"/>
    <mergeCell ref="B26:B27"/>
    <mergeCell ref="B12:B13"/>
    <mergeCell ref="B14:B15"/>
    <mergeCell ref="B16:B17"/>
    <mergeCell ref="B18:B19"/>
    <mergeCell ref="B20:B21"/>
  </mergeCells>
  <phoneticPr fontId="22" type="noConversion"/>
  <pageMargins left="0.74803149606299213" right="0.70866141732283472" top="0.98425196850393704" bottom="0.39370078740157483" header="0.27559055118110237" footer="0.27559055118110237"/>
  <pageSetup paperSize="9" scale="60" orientation="landscape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통계요약</vt:lpstr>
      <vt:lpstr>연도별 수송실적</vt:lpstr>
      <vt:lpstr>컨테이너 재게</vt:lpstr>
      <vt:lpstr>'연도별 수송실적'!Print_Area</vt:lpstr>
      <vt:lpstr>통계요약!Print_Area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항만청</dc:creator>
  <cp:lastModifiedBy>MOF</cp:lastModifiedBy>
  <cp:lastPrinted>2024-10-28T06:10:59Z</cp:lastPrinted>
  <dcterms:created xsi:type="dcterms:W3CDTF">1998-03-31T03:01:22Z</dcterms:created>
  <dcterms:modified xsi:type="dcterms:W3CDTF">2026-09-30T11:51:09Z</dcterms:modified>
</cp:coreProperties>
</file>