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7월\"/>
    </mc:Choice>
  </mc:AlternateContent>
  <xr:revisionPtr revIDLastSave="0" documentId="13_ncr:1_{1F689C57-2559-46BB-841D-A55D7B6FB199}" xr6:coauthVersionLast="47" xr6:coauthVersionMax="47" xr10:uidLastSave="{00000000-0000-0000-0000-000000000000}"/>
  <bookViews>
    <workbookView xWindow="29370" yWindow="885" windowWidth="25695" windowHeight="13260" xr2:uid="{00000000-000D-0000-FFFF-FFFF00000000}"/>
  </bookViews>
  <sheets>
    <sheet name="2026" sheetId="13" r:id="rId1"/>
    <sheet name="2025" sheetId="11" r:id="rId2"/>
    <sheet name="2024" sheetId="10" r:id="rId3"/>
    <sheet name="2023" sheetId="9" r:id="rId4"/>
    <sheet name="2022" sheetId="8" r:id="rId5"/>
    <sheet name="2021" sheetId="7" r:id="rId6"/>
    <sheet name="2020" sheetId="1" r:id="rId7"/>
    <sheet name="2019" sheetId="6" r:id="rId8"/>
    <sheet name="Sheet1" sheetId="12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5" i="13" l="1"/>
  <c r="K10" i="13"/>
  <c r="K9" i="13"/>
  <c r="J15" i="13"/>
  <c r="J10" i="13"/>
  <c r="J9" i="13"/>
  <c r="I15" i="13"/>
  <c r="I12" i="13"/>
  <c r="I10" i="13"/>
  <c r="I9" i="13"/>
  <c r="Q25" i="13" l="1"/>
  <c r="Q24" i="13"/>
  <c r="Q23" i="13"/>
  <c r="Q22" i="13"/>
  <c r="P21" i="13"/>
  <c r="O21" i="13"/>
  <c r="N21" i="13"/>
  <c r="M21" i="13"/>
  <c r="L21" i="13"/>
  <c r="K21" i="13"/>
  <c r="J21" i="13"/>
  <c r="I21" i="13"/>
  <c r="H21" i="13"/>
  <c r="G21" i="13"/>
  <c r="F21" i="13"/>
  <c r="E21" i="13"/>
  <c r="Q19" i="13"/>
  <c r="Q18" i="13"/>
  <c r="Q17" i="13"/>
  <c r="P16" i="13"/>
  <c r="O16" i="13"/>
  <c r="N16" i="13"/>
  <c r="M16" i="13"/>
  <c r="L16" i="13"/>
  <c r="K16" i="13"/>
  <c r="J16" i="13"/>
  <c r="I16" i="13"/>
  <c r="H16" i="13"/>
  <c r="G16" i="13"/>
  <c r="F16" i="13"/>
  <c r="E16" i="13"/>
  <c r="M12" i="13"/>
  <c r="M11" i="13" s="1"/>
  <c r="L12" i="13"/>
  <c r="H12" i="13"/>
  <c r="E12" i="13"/>
  <c r="Q14" i="13"/>
  <c r="Q13" i="13"/>
  <c r="P12" i="13"/>
  <c r="O12" i="13"/>
  <c r="O11" i="13" s="1"/>
  <c r="N12" i="13"/>
  <c r="N11" i="13" s="1"/>
  <c r="K12" i="13"/>
  <c r="J12" i="13"/>
  <c r="G12" i="13"/>
  <c r="F12" i="13"/>
  <c r="Q10" i="13"/>
  <c r="Q9" i="13"/>
  <c r="Q8" i="13" s="1"/>
  <c r="N8" i="13"/>
  <c r="J8" i="13"/>
  <c r="P8" i="13"/>
  <c r="O8" i="13"/>
  <c r="M8" i="13"/>
  <c r="L8" i="13"/>
  <c r="K8" i="13"/>
  <c r="I8" i="13"/>
  <c r="H8" i="13"/>
  <c r="G8" i="13"/>
  <c r="F8" i="13"/>
  <c r="E8" i="13"/>
  <c r="G11" i="13" l="1"/>
  <c r="J11" i="13"/>
  <c r="K11" i="13"/>
  <c r="F11" i="13"/>
  <c r="E11" i="13"/>
  <c r="Q21" i="13"/>
  <c r="H11" i="13"/>
  <c r="I11" i="13"/>
  <c r="P11" i="13"/>
  <c r="L11" i="13"/>
  <c r="Q16" i="13"/>
  <c r="Q15" i="13"/>
  <c r="Q12" i="13" s="1"/>
  <c r="O15" i="11"/>
  <c r="N15" i="11"/>
  <c r="M15" i="11"/>
  <c r="L15" i="11"/>
  <c r="K15" i="11"/>
  <c r="J15" i="11"/>
  <c r="I15" i="11"/>
  <c r="F15" i="11"/>
  <c r="H15" i="11"/>
  <c r="G15" i="11"/>
  <c r="E15" i="11"/>
  <c r="E10" i="11"/>
  <c r="E9" i="11"/>
  <c r="F10" i="11"/>
  <c r="G10" i="11"/>
  <c r="H10" i="11"/>
  <c r="I9" i="11"/>
  <c r="I10" i="11"/>
  <c r="J10" i="11"/>
  <c r="K10" i="11"/>
  <c r="K9" i="11"/>
  <c r="L10" i="11"/>
  <c r="M10" i="11"/>
  <c r="M9" i="11"/>
  <c r="N9" i="11"/>
  <c r="N10" i="11"/>
  <c r="O10" i="11"/>
  <c r="Q11" i="13" l="1"/>
  <c r="Q10" i="11"/>
  <c r="K25" i="11"/>
  <c r="L25" i="11"/>
  <c r="Q25" i="11" s="1"/>
  <c r="L8" i="11" l="1"/>
  <c r="Q24" i="11" l="1"/>
  <c r="J9" i="11" l="1"/>
  <c r="Q22" i="11" l="1"/>
  <c r="Q23" i="11" l="1"/>
  <c r="P21" i="11"/>
  <c r="O21" i="11"/>
  <c r="N21" i="11"/>
  <c r="M21" i="11"/>
  <c r="L21" i="11"/>
  <c r="K21" i="11"/>
  <c r="J21" i="11"/>
  <c r="I21" i="11"/>
  <c r="H21" i="11"/>
  <c r="G21" i="11"/>
  <c r="F21" i="11"/>
  <c r="E21" i="11"/>
  <c r="Q19" i="11"/>
  <c r="Q18" i="11"/>
  <c r="Q17" i="11"/>
  <c r="P16" i="11"/>
  <c r="O16" i="11"/>
  <c r="N16" i="11"/>
  <c r="N11" i="11" s="1"/>
  <c r="M16" i="11"/>
  <c r="L16" i="11"/>
  <c r="K16" i="11"/>
  <c r="J16" i="11"/>
  <c r="I16" i="11"/>
  <c r="H16" i="11"/>
  <c r="G16" i="11"/>
  <c r="F16" i="11"/>
  <c r="E16" i="11"/>
  <c r="Q15" i="11"/>
  <c r="Q14" i="11"/>
  <c r="Q13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Q9" i="11"/>
  <c r="P8" i="11"/>
  <c r="O8" i="11"/>
  <c r="N8" i="11"/>
  <c r="M8" i="11"/>
  <c r="K8" i="11"/>
  <c r="J8" i="11"/>
  <c r="I8" i="11"/>
  <c r="H8" i="11"/>
  <c r="G8" i="11"/>
  <c r="F8" i="11"/>
  <c r="E8" i="11"/>
  <c r="O11" i="11" l="1"/>
  <c r="M11" i="11"/>
  <c r="L11" i="11"/>
  <c r="I11" i="11"/>
  <c r="E11" i="11"/>
  <c r="K11" i="11"/>
  <c r="J11" i="11"/>
  <c r="H11" i="11"/>
  <c r="G11" i="11"/>
  <c r="F11" i="11"/>
  <c r="Q8" i="11"/>
  <c r="Q21" i="11"/>
  <c r="P11" i="11"/>
  <c r="Q16" i="11"/>
  <c r="Q12" i="11"/>
  <c r="Q18" i="10"/>
  <c r="Q17" i="10"/>
  <c r="Q14" i="10"/>
  <c r="Q15" i="10"/>
  <c r="Q13" i="10"/>
  <c r="E16" i="10"/>
  <c r="E12" i="10"/>
  <c r="E11" i="10" s="1"/>
  <c r="Q11" i="11" l="1"/>
  <c r="Q12" i="10"/>
  <c r="Q9" i="10"/>
  <c r="Q10" i="10"/>
  <c r="O21" i="10" l="1"/>
  <c r="H21" i="10" l="1"/>
  <c r="Q22" i="10"/>
  <c r="M21" i="10" l="1"/>
  <c r="L21" i="10" l="1"/>
  <c r="G21" i="10" l="1"/>
  <c r="I21" i="10"/>
  <c r="J21" i="10"/>
  <c r="Q25" i="10"/>
  <c r="Q24" i="10"/>
  <c r="Q23" i="10"/>
  <c r="P21" i="10"/>
  <c r="N21" i="10"/>
  <c r="K21" i="10"/>
  <c r="F21" i="10"/>
  <c r="E21" i="10"/>
  <c r="Q19" i="10"/>
  <c r="Q16" i="10" s="1"/>
  <c r="P16" i="10"/>
  <c r="O16" i="10"/>
  <c r="N16" i="10"/>
  <c r="M16" i="10"/>
  <c r="L16" i="10"/>
  <c r="K16" i="10"/>
  <c r="J16" i="10"/>
  <c r="I16" i="10"/>
  <c r="H16" i="10"/>
  <c r="G16" i="10"/>
  <c r="F16" i="10"/>
  <c r="P12" i="10"/>
  <c r="O12" i="10"/>
  <c r="N12" i="10"/>
  <c r="M12" i="10"/>
  <c r="L12" i="10"/>
  <c r="K12" i="10"/>
  <c r="J12" i="10"/>
  <c r="I12" i="10"/>
  <c r="H12" i="10"/>
  <c r="G12" i="10"/>
  <c r="F12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G11" i="10" l="1"/>
  <c r="N11" i="10"/>
  <c r="O11" i="10"/>
  <c r="K11" i="10"/>
  <c r="J11" i="10"/>
  <c r="F11" i="10"/>
  <c r="Q21" i="10"/>
  <c r="H11" i="10"/>
  <c r="L11" i="10"/>
  <c r="P11" i="10"/>
  <c r="I11" i="10"/>
  <c r="M11" i="10"/>
  <c r="P12" i="9"/>
  <c r="Q11" i="10" l="1"/>
  <c r="Q13" i="9"/>
  <c r="O21" i="9" l="1"/>
  <c r="Q22" i="9" l="1"/>
  <c r="Q23" i="9"/>
  <c r="Q24" i="9"/>
  <c r="Q25" i="9"/>
  <c r="M16" i="9" l="1"/>
  <c r="M12" i="9" l="1"/>
  <c r="G8" i="9" l="1"/>
  <c r="I21" i="9" l="1"/>
  <c r="H21" i="9"/>
  <c r="F21" i="9"/>
  <c r="N21" i="9"/>
  <c r="P21" i="9"/>
  <c r="M21" i="9"/>
  <c r="L21" i="9"/>
  <c r="K21" i="9"/>
  <c r="J21" i="9"/>
  <c r="E21" i="9"/>
  <c r="Q19" i="9"/>
  <c r="Q18" i="9"/>
  <c r="Q17" i="9"/>
  <c r="P16" i="9"/>
  <c r="P11" i="9" s="1"/>
  <c r="O16" i="9"/>
  <c r="N16" i="9"/>
  <c r="L16" i="9"/>
  <c r="K16" i="9"/>
  <c r="J16" i="9"/>
  <c r="I16" i="9"/>
  <c r="H16" i="9"/>
  <c r="G16" i="9"/>
  <c r="F16" i="9"/>
  <c r="E16" i="9"/>
  <c r="Q15" i="9"/>
  <c r="Q14" i="9"/>
  <c r="O12" i="9"/>
  <c r="N12" i="9"/>
  <c r="L12" i="9"/>
  <c r="K12" i="9"/>
  <c r="J12" i="9"/>
  <c r="I12" i="9"/>
  <c r="H12" i="9"/>
  <c r="G12" i="9"/>
  <c r="F12" i="9"/>
  <c r="E12" i="9"/>
  <c r="Q10" i="9"/>
  <c r="Q9" i="9"/>
  <c r="P8" i="9"/>
  <c r="O8" i="9"/>
  <c r="N8" i="9"/>
  <c r="M8" i="9"/>
  <c r="L8" i="9"/>
  <c r="K8" i="9"/>
  <c r="J8" i="9"/>
  <c r="I8" i="9"/>
  <c r="H8" i="9"/>
  <c r="F8" i="9"/>
  <c r="E8" i="9"/>
  <c r="E11" i="9" l="1"/>
  <c r="I11" i="9"/>
  <c r="N11" i="9"/>
  <c r="J11" i="9"/>
  <c r="Q16" i="9"/>
  <c r="F11" i="9"/>
  <c r="Q21" i="9"/>
  <c r="Q8" i="9"/>
  <c r="G11" i="9"/>
  <c r="K11" i="9"/>
  <c r="O11" i="9"/>
  <c r="H11" i="9"/>
  <c r="L11" i="9"/>
  <c r="M11" i="9"/>
  <c r="Q12" i="9"/>
  <c r="P24" i="8"/>
  <c r="Q11" i="9" l="1"/>
  <c r="D11" i="8"/>
  <c r="E11" i="8"/>
  <c r="F11" i="8"/>
  <c r="G11" i="8"/>
  <c r="H11" i="8"/>
  <c r="D15" i="8"/>
  <c r="E15" i="8"/>
  <c r="F15" i="8"/>
  <c r="G15" i="8"/>
  <c r="H15" i="8"/>
  <c r="F10" i="8" l="1"/>
  <c r="E10" i="8"/>
  <c r="H10" i="8"/>
  <c r="D10" i="8"/>
  <c r="E7" i="8"/>
  <c r="F7" i="8"/>
  <c r="G7" i="8"/>
  <c r="H7" i="8"/>
  <c r="I7" i="8"/>
  <c r="J7" i="8"/>
  <c r="K7" i="8"/>
  <c r="L7" i="8"/>
  <c r="M7" i="8"/>
  <c r="N7" i="8"/>
  <c r="O7" i="8"/>
  <c r="D7" i="8"/>
  <c r="O23" i="8" l="1"/>
  <c r="N23" i="8"/>
  <c r="M23" i="8"/>
  <c r="L23" i="8"/>
  <c r="K23" i="8"/>
  <c r="J23" i="8"/>
  <c r="I23" i="8"/>
  <c r="H23" i="8"/>
  <c r="G23" i="8"/>
  <c r="F23" i="8"/>
  <c r="E23" i="8"/>
  <c r="D23" i="8"/>
  <c r="P22" i="8"/>
  <c r="P23" i="8" l="1"/>
  <c r="P21" i="8"/>
  <c r="D20" i="8" l="1"/>
  <c r="F20" i="8"/>
  <c r="M15" i="8" l="1"/>
  <c r="M11" i="8"/>
  <c r="M10" i="8" l="1"/>
  <c r="G10" i="8" l="1"/>
  <c r="P18" i="8"/>
  <c r="P17" i="8"/>
  <c r="P16" i="8"/>
  <c r="P14" i="8"/>
  <c r="P13" i="8"/>
  <c r="P12" i="8"/>
  <c r="P9" i="8"/>
  <c r="P8" i="8"/>
  <c r="L20" i="8"/>
  <c r="L11" i="8"/>
  <c r="L15" i="8"/>
  <c r="L10" i="8" l="1"/>
  <c r="K20" i="8"/>
  <c r="K15" i="8"/>
  <c r="K11" i="8"/>
  <c r="K10" i="8" l="1"/>
  <c r="P11" i="8"/>
  <c r="P15" i="8"/>
  <c r="P7" i="8"/>
  <c r="P10" i="8" l="1"/>
  <c r="P20" i="8"/>
  <c r="O20" i="8" l="1"/>
  <c r="N20" i="8"/>
  <c r="J20" i="8"/>
  <c r="I20" i="8"/>
  <c r="O15" i="8"/>
  <c r="N15" i="8"/>
  <c r="J15" i="8"/>
  <c r="I15" i="8"/>
  <c r="O11" i="8"/>
  <c r="N11" i="8"/>
  <c r="J11" i="8"/>
  <c r="I11" i="8"/>
  <c r="J10" i="8" l="1"/>
  <c r="I10" i="8"/>
  <c r="N10" i="8"/>
  <c r="O10" i="8"/>
  <c r="N15" i="7"/>
  <c r="N11" i="7"/>
  <c r="N10" i="7" s="1"/>
  <c r="N20" i="7" l="1"/>
  <c r="M20" i="7" l="1"/>
  <c r="O15" i="7"/>
  <c r="M15" i="7" l="1"/>
  <c r="L11" i="7" l="1"/>
  <c r="L7" i="7"/>
  <c r="K7" i="7" l="1"/>
  <c r="G11" i="7" l="1"/>
  <c r="F20" i="7" l="1"/>
  <c r="F15" i="7" l="1"/>
  <c r="F11" i="7"/>
  <c r="F7" i="7"/>
  <c r="F10" i="7" l="1"/>
  <c r="P24" i="7"/>
  <c r="P23" i="7"/>
  <c r="P22" i="7"/>
  <c r="P21" i="7"/>
  <c r="O20" i="7"/>
  <c r="L20" i="7"/>
  <c r="K20" i="7"/>
  <c r="J20" i="7"/>
  <c r="I20" i="7"/>
  <c r="H20" i="7"/>
  <c r="G20" i="7"/>
  <c r="E20" i="7"/>
  <c r="D20" i="7"/>
  <c r="P17" i="7"/>
  <c r="P16" i="7"/>
  <c r="L15" i="7"/>
  <c r="K15" i="7"/>
  <c r="J15" i="7"/>
  <c r="I15" i="7"/>
  <c r="H15" i="7"/>
  <c r="G15" i="7"/>
  <c r="G10" i="7" s="1"/>
  <c r="E15" i="7"/>
  <c r="D15" i="7"/>
  <c r="P14" i="7"/>
  <c r="P13" i="7"/>
  <c r="P12" i="7"/>
  <c r="O11" i="7"/>
  <c r="O10" i="7" s="1"/>
  <c r="M11" i="7"/>
  <c r="K11" i="7"/>
  <c r="J11" i="7"/>
  <c r="I11" i="7"/>
  <c r="H11" i="7"/>
  <c r="E11" i="7"/>
  <c r="D11" i="7"/>
  <c r="P9" i="7"/>
  <c r="P8" i="7"/>
  <c r="O7" i="7"/>
  <c r="N7" i="7"/>
  <c r="M7" i="7"/>
  <c r="J7" i="7"/>
  <c r="I7" i="7"/>
  <c r="H7" i="7"/>
  <c r="G7" i="7"/>
  <c r="E7" i="7"/>
  <c r="D7" i="7"/>
  <c r="P7" i="7" l="1"/>
  <c r="K10" i="7"/>
  <c r="J10" i="7"/>
  <c r="D10" i="7"/>
  <c r="P20" i="7"/>
  <c r="H10" i="7"/>
  <c r="L10" i="7"/>
  <c r="E10" i="7"/>
  <c r="I10" i="7"/>
  <c r="M10" i="7"/>
  <c r="P15" i="7"/>
  <c r="P11" i="7"/>
  <c r="P21" i="1"/>
  <c r="P22" i="1"/>
  <c r="P23" i="1"/>
  <c r="O20" i="1"/>
  <c r="P12" i="1"/>
  <c r="P13" i="1"/>
  <c r="P14" i="1"/>
  <c r="P16" i="1"/>
  <c r="P17" i="1"/>
  <c r="P18" i="1"/>
  <c r="O15" i="1"/>
  <c r="O11" i="1"/>
  <c r="P8" i="1"/>
  <c r="P9" i="1"/>
  <c r="O7" i="1"/>
  <c r="P10" i="7" l="1"/>
  <c r="O10" i="1"/>
  <c r="P22" i="6"/>
  <c r="P23" i="6"/>
  <c r="P21" i="6"/>
  <c r="P16" i="6"/>
  <c r="P17" i="6"/>
  <c r="P18" i="6"/>
  <c r="P12" i="6"/>
  <c r="P13" i="6"/>
  <c r="P14" i="6"/>
  <c r="P9" i="6"/>
  <c r="P8" i="6"/>
  <c r="O20" i="6"/>
  <c r="O15" i="6"/>
  <c r="O11" i="6"/>
  <c r="O7" i="6"/>
  <c r="O10" i="6" l="1"/>
  <c r="N20" i="1"/>
  <c r="N15" i="1"/>
  <c r="N11" i="1"/>
  <c r="N7" i="1"/>
  <c r="N10" i="1" l="1"/>
  <c r="N20" i="6"/>
  <c r="N15" i="6"/>
  <c r="N11" i="6"/>
  <c r="N7" i="6"/>
  <c r="N10" i="6" l="1"/>
  <c r="M20" i="1"/>
  <c r="M15" i="1"/>
  <c r="M11" i="1"/>
  <c r="M7" i="1"/>
  <c r="M10" i="1" l="1"/>
  <c r="M20" i="6"/>
  <c r="M15" i="6"/>
  <c r="M11" i="6"/>
  <c r="M7" i="6"/>
  <c r="M10" i="6" l="1"/>
  <c r="L20" i="1"/>
  <c r="L15" i="1"/>
  <c r="L11" i="1"/>
  <c r="L7" i="1"/>
  <c r="L10" i="1" l="1"/>
  <c r="L20" i="6"/>
  <c r="L15" i="6"/>
  <c r="L11" i="6"/>
  <c r="L7" i="6"/>
  <c r="L10" i="6" l="1"/>
  <c r="K20" i="1"/>
  <c r="K15" i="1"/>
  <c r="K11" i="1"/>
  <c r="K7" i="1"/>
  <c r="K10" i="1" l="1"/>
  <c r="K20" i="6"/>
  <c r="K15" i="6"/>
  <c r="K11" i="6"/>
  <c r="K7" i="6"/>
  <c r="K10" i="6" l="1"/>
  <c r="J20" i="1"/>
  <c r="J15" i="1"/>
  <c r="J11" i="1"/>
  <c r="J7" i="1"/>
  <c r="J10" i="1" l="1"/>
  <c r="J20" i="6"/>
  <c r="J15" i="6"/>
  <c r="J11" i="6"/>
  <c r="J7" i="6"/>
  <c r="J10" i="6" l="1"/>
  <c r="I20" i="1"/>
  <c r="I15" i="1"/>
  <c r="I11" i="1"/>
  <c r="I7" i="1"/>
  <c r="I10" i="1" l="1"/>
  <c r="I20" i="6"/>
  <c r="I15" i="6"/>
  <c r="I11" i="6"/>
  <c r="I7" i="6"/>
  <c r="I10" i="6" l="1"/>
  <c r="H20" i="1"/>
  <c r="H15" i="1"/>
  <c r="H11" i="1"/>
  <c r="H7" i="1"/>
  <c r="H10" i="1" l="1"/>
  <c r="H20" i="6"/>
  <c r="H15" i="6"/>
  <c r="H11" i="6"/>
  <c r="H7" i="6"/>
  <c r="H10" i="6" l="1"/>
  <c r="P24" i="6"/>
  <c r="G20" i="6"/>
  <c r="F20" i="6"/>
  <c r="E20" i="6"/>
  <c r="D20" i="6"/>
  <c r="G15" i="6"/>
  <c r="F15" i="6"/>
  <c r="E15" i="6"/>
  <c r="D15" i="6"/>
  <c r="G11" i="6"/>
  <c r="F11" i="6"/>
  <c r="E11" i="6"/>
  <c r="D11" i="6"/>
  <c r="G7" i="6"/>
  <c r="F7" i="6"/>
  <c r="E7" i="6"/>
  <c r="D7" i="6"/>
  <c r="P15" i="6" l="1"/>
  <c r="P11" i="6"/>
  <c r="P20" i="6"/>
  <c r="G10" i="6"/>
  <c r="F10" i="6"/>
  <c r="E10" i="6"/>
  <c r="D10" i="6"/>
  <c r="P7" i="6"/>
  <c r="P10" i="6" l="1"/>
  <c r="G15" i="1"/>
  <c r="G11" i="1"/>
  <c r="G10" i="1" s="1"/>
  <c r="G20" i="1" l="1"/>
  <c r="G7" i="1"/>
  <c r="P24" i="1" l="1"/>
  <c r="F20" i="1" l="1"/>
  <c r="F15" i="1" l="1"/>
  <c r="F11" i="1" l="1"/>
  <c r="F10" i="1" s="1"/>
  <c r="F7" i="1" l="1"/>
  <c r="E7" i="1"/>
  <c r="D7" i="1"/>
  <c r="P7" i="1" s="1"/>
  <c r="E20" i="1" l="1"/>
  <c r="D20" i="1" l="1"/>
  <c r="P20" i="1" s="1"/>
  <c r="E15" i="1" l="1"/>
  <c r="E11" i="1"/>
  <c r="E10" i="1" l="1"/>
  <c r="D15" i="1"/>
  <c r="P15" i="1" s="1"/>
  <c r="D11" i="1" l="1"/>
  <c r="D10" i="1" l="1"/>
  <c r="P10" i="1" s="1"/>
  <c r="P11" i="1"/>
</calcChain>
</file>

<file path=xl/sharedStrings.xml><?xml version="1.0" encoding="utf-8"?>
<sst xmlns="http://schemas.openxmlformats.org/spreadsheetml/2006/main" count="331" uniqueCount="57">
  <si>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</si>
  <si>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</si>
  <si>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</si>
  <si>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</si>
  <si>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</si>
  <si>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</si>
  <si>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</si>
  <si>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</si>
  <si>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</si>
  <si>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</si>
  <si>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</si>
  <si>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</si>
  <si>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합계</t>
    <phoneticPr fontId="1" type="noConversion"/>
  </si>
  <si>
    <t>선박</t>
    <phoneticPr fontId="1" type="noConversion"/>
  </si>
  <si>
    <t>계</t>
    <phoneticPr fontId="1" type="noConversion"/>
  </si>
  <si>
    <t>외항</t>
    <phoneticPr fontId="1" type="noConversion"/>
  </si>
  <si>
    <t>내항</t>
    <phoneticPr fontId="1" type="noConversion"/>
  </si>
  <si>
    <t>화물</t>
    <phoneticPr fontId="1" type="noConversion"/>
  </si>
  <si>
    <t>소계</t>
    <phoneticPr fontId="1" type="noConversion"/>
  </si>
  <si>
    <t>수입</t>
    <phoneticPr fontId="1" type="noConversion"/>
  </si>
  <si>
    <t>수출</t>
    <phoneticPr fontId="1" type="noConversion"/>
  </si>
  <si>
    <t>환적</t>
    <phoneticPr fontId="1" type="noConversion"/>
  </si>
  <si>
    <t>연안</t>
    <phoneticPr fontId="1" type="noConversion"/>
  </si>
  <si>
    <t>컨테이너</t>
    <phoneticPr fontId="1" type="noConversion"/>
  </si>
  <si>
    <t>구분</t>
    <phoneticPr fontId="1" type="noConversion"/>
  </si>
  <si>
    <t>(단위: 척, 천톤)</t>
    <phoneticPr fontId="1" type="noConversion"/>
  </si>
  <si>
    <t>(단위:TEU)</t>
    <phoneticPr fontId="1" type="noConversion"/>
  </si>
  <si>
    <t>입항</t>
    <phoneticPr fontId="1" type="noConversion"/>
  </si>
  <si>
    <t>출항</t>
    <phoneticPr fontId="1" type="noConversion"/>
  </si>
  <si>
    <t>자동차(대)</t>
    <phoneticPr fontId="1" type="noConversion"/>
  </si>
  <si>
    <t>합계</t>
    <phoneticPr fontId="1" type="noConversion"/>
  </si>
  <si>
    <t>2020년 항만운영통계 월별 요약</t>
    <phoneticPr fontId="1" type="noConversion"/>
  </si>
  <si>
    <t>2020년</t>
    <phoneticPr fontId="1" type="noConversion"/>
  </si>
  <si>
    <t>누계</t>
    <phoneticPr fontId="1" type="noConversion"/>
  </si>
  <si>
    <t>2019년</t>
    <phoneticPr fontId="1" type="noConversion"/>
  </si>
  <si>
    <t>2019년 항만운영통계 월별 요약</t>
    <phoneticPr fontId="1" type="noConversion"/>
  </si>
  <si>
    <t>2021년</t>
    <phoneticPr fontId="1" type="noConversion"/>
  </si>
  <si>
    <t>2021년 항만운영통계 월별 요약</t>
    <phoneticPr fontId="1" type="noConversion"/>
  </si>
  <si>
    <t>(단위: 척, 천톤)</t>
  </si>
  <si>
    <t>(단위:TEU)</t>
    <phoneticPr fontId="1" type="noConversion"/>
  </si>
  <si>
    <t>2022년 항만운영통계 월별 요약</t>
    <phoneticPr fontId="1" type="noConversion"/>
  </si>
  <si>
    <t>7월</t>
    <phoneticPr fontId="1" type="noConversion"/>
  </si>
  <si>
    <t>8월</t>
    <phoneticPr fontId="1" type="noConversion"/>
  </si>
  <si>
    <t>2022년</t>
    <phoneticPr fontId="1" type="noConversion"/>
  </si>
  <si>
    <t>2023년</t>
    <phoneticPr fontId="1" type="noConversion"/>
  </si>
  <si>
    <t>(단위 : 척, 천톤)</t>
    <phoneticPr fontId="1" type="noConversion"/>
  </si>
  <si>
    <t>구     분</t>
    <phoneticPr fontId="1" type="noConversion"/>
  </si>
  <si>
    <t>누 계</t>
    <phoneticPr fontId="1" type="noConversion"/>
  </si>
  <si>
    <t>(단위:TEU)</t>
    <phoneticPr fontId="1" type="noConversion"/>
  </si>
  <si>
    <t>2023년 항만운영통계 월별 요약</t>
    <phoneticPr fontId="1" type="noConversion"/>
  </si>
  <si>
    <t>2024년 항만운영통계 월별 요약</t>
    <phoneticPr fontId="1" type="noConversion"/>
  </si>
  <si>
    <t>2024년</t>
    <phoneticPr fontId="1" type="noConversion"/>
  </si>
  <si>
    <t>.</t>
    <phoneticPr fontId="1" type="noConversion"/>
  </si>
  <si>
    <t>2025년 항만운영통계 월별 요약</t>
    <phoneticPr fontId="1" type="noConversion"/>
  </si>
  <si>
    <t>2025년</t>
    <phoneticPr fontId="1" type="noConversion"/>
  </si>
  <si>
    <t>2026년</t>
    <phoneticPr fontId="1" type="noConversion"/>
  </si>
  <si>
    <t>2026년 항만운영통계 월별 요약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</si>
</sst>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#,"/>
    <numFmt numFmtId="177" formatCode="#,###"/>
    <numFmt numFmtId="178" formatCode="0_ "/>
    <numFmt numFmtId="179" formatCode="_ * #,##0_ ;_ * \-#,##0_ ;_ * &quot;-&quot;_ ;_ @_ "/>
    <numFmt numFmtId="180" formatCode="&quot;$&quot;#,##0;[Red]\-&quot;$&quot;#,##0"/>
    <numFmt numFmtId="181" formatCode="&quot;$&quot;#,##0.00;[Red]\-&quot;$&quot;#,##0.00"/>
    <numFmt numFmtId="182" formatCode="_ * #,##0_ ;_ * &quot;₩&quot;&quot;₩&quot;&quot;₩&quot;&quot;₩&quot;&quot;₩&quot;&quot;₩&quot;\-#,##0_ ;_ * &quot;-&quot;_ ;_ @_ "/>
    <numFmt numFmtId="183" formatCode="#,##0,"/>
    <numFmt numFmtId="184" formatCode="#,##0_ 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0"/>
      <name val="바탕체"/>
      <family val="1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4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5">
    <xf numFmtId="0" fontId="0" fillId="0" borderId="0">
      <alignment vertical="center"/>
    </xf>
    <xf numFmtId="0" fontId="1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14" fillId="5" borderId="0" applyNumberFormat="0" applyBorder="0" applyAlignment="0" applyProtection="0"/>
    <xf numFmtId="10" fontId="14" fillId="6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14" applyNumberFormat="0" applyBorder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0" fillId="0" borderId="0"/>
    <xf numFmtId="179" fontId="10" fillId="0" borderId="0" applyFont="0" applyFill="0" applyBorder="0" applyAlignment="0" applyProtection="0"/>
    <xf numFmtId="0" fontId="9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9" fontId="1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/>
    <xf numFmtId="0" fontId="21" fillId="0" borderId="0">
      <alignment vertical="center"/>
    </xf>
    <xf numFmtId="0" fontId="24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7" fontId="4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7" fontId="4" fillId="4" borderId="1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178" fontId="3" fillId="0" borderId="1" xfId="0" applyNumberFormat="1" applyFont="1" applyBorder="1" applyAlignment="1">
      <alignment horizontal="right" vertical="center"/>
    </xf>
    <xf numFmtId="177" fontId="7" fillId="3" borderId="1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176" fontId="15" fillId="0" borderId="2" xfId="1" applyNumberFormat="1" applyFont="1" applyBorder="1" applyAlignment="1">
      <alignment horizontal="right" vertical="center"/>
    </xf>
    <xf numFmtId="183" fontId="15" fillId="0" borderId="2" xfId="1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84" fontId="17" fillId="7" borderId="1" xfId="18" applyNumberFormat="1" applyFont="1" applyFill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84" fontId="17" fillId="7" borderId="1" xfId="18" applyNumberFormat="1" applyFont="1" applyFill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9" fontId="15" fillId="0" borderId="6" xfId="0" applyNumberFormat="1" applyFont="1" applyBorder="1" applyAlignment="1">
      <alignment horizontal="right" vertical="center"/>
    </xf>
    <xf numFmtId="179" fontId="15" fillId="0" borderId="6" xfId="0" applyNumberFormat="1" applyFont="1" applyFill="1" applyBorder="1" applyAlignment="1">
      <alignment horizontal="right" vertical="center"/>
    </xf>
    <xf numFmtId="176" fontId="15" fillId="0" borderId="2" xfId="0" applyNumberFormat="1" applyFont="1" applyBorder="1" applyAlignment="1">
      <alignment horizontal="right" vertical="center"/>
    </xf>
    <xf numFmtId="183" fontId="15" fillId="0" borderId="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179" fontId="18" fillId="8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9" fontId="15" fillId="0" borderId="2" xfId="0" applyNumberFormat="1" applyFont="1" applyFill="1" applyBorder="1" applyAlignment="1">
      <alignment horizontal="center" vertical="center"/>
    </xf>
    <xf numFmtId="179" fontId="15" fillId="0" borderId="6" xfId="18" applyNumberFormat="1" applyFont="1" applyBorder="1" applyAlignment="1">
      <alignment horizontal="right" vertical="center"/>
    </xf>
    <xf numFmtId="179" fontId="15" fillId="0" borderId="6" xfId="18" applyNumberFormat="1" applyFont="1" applyFill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179" fontId="18" fillId="8" borderId="1" xfId="18" applyNumberFormat="1" applyFont="1" applyFill="1" applyBorder="1" applyAlignment="1">
      <alignment horizontal="center" vertical="center"/>
    </xf>
    <xf numFmtId="179" fontId="15" fillId="0" borderId="2" xfId="18" applyNumberFormat="1" applyFont="1" applyFill="1" applyBorder="1" applyAlignment="1">
      <alignment horizontal="center" vertical="center"/>
    </xf>
    <xf numFmtId="176" fontId="15" fillId="0" borderId="2" xfId="18" applyNumberFormat="1" applyFont="1" applyBorder="1" applyAlignment="1">
      <alignment horizontal="right" vertical="center"/>
    </xf>
    <xf numFmtId="183" fontId="15" fillId="0" borderId="2" xfId="18" applyNumberFormat="1" applyFont="1" applyBorder="1" applyAlignment="1">
      <alignment horizontal="right" vertical="center"/>
    </xf>
    <xf numFmtId="176" fontId="15" fillId="0" borderId="2" xfId="18" applyNumberFormat="1" applyFont="1" applyBorder="1" applyAlignment="1">
      <alignment horizontal="right" vertical="center"/>
    </xf>
    <xf numFmtId="176" fontId="15" fillId="0" borderId="1" xfId="18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right" vertical="center"/>
    </xf>
    <xf numFmtId="179" fontId="15" fillId="0" borderId="2" xfId="18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41" fontId="15" fillId="0" borderId="1" xfId="35" applyFont="1" applyBorder="1" applyAlignment="1">
      <alignment horizontal="right" vertical="center"/>
    </xf>
    <xf numFmtId="41" fontId="4" fillId="4" borderId="1" xfId="35" applyFont="1" applyFill="1" applyBorder="1" applyAlignment="1">
      <alignment horizontal="right" vertical="center"/>
    </xf>
    <xf numFmtId="0" fontId="25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176" fontId="27" fillId="4" borderId="19" xfId="0" applyNumberFormat="1" applyFont="1" applyFill="1" applyBorder="1" applyAlignment="1">
      <alignment horizontal="right" vertical="center"/>
    </xf>
    <xf numFmtId="41" fontId="27" fillId="4" borderId="19" xfId="35" applyFont="1" applyFill="1" applyBorder="1" applyAlignment="1">
      <alignment horizontal="right" vertical="center"/>
    </xf>
    <xf numFmtId="176" fontId="27" fillId="0" borderId="15" xfId="0" applyNumberFormat="1" applyFont="1" applyBorder="1" applyAlignment="1">
      <alignment horizontal="right" vertical="center"/>
    </xf>
    <xf numFmtId="0" fontId="22" fillId="0" borderId="15" xfId="0" applyFont="1" applyBorder="1" applyAlignment="1">
      <alignment horizontal="center" vertical="center"/>
    </xf>
    <xf numFmtId="177" fontId="27" fillId="4" borderId="26" xfId="0" applyNumberFormat="1" applyFont="1" applyFill="1" applyBorder="1" applyAlignment="1">
      <alignment horizontal="right" vertical="center"/>
    </xf>
    <xf numFmtId="177" fontId="22" fillId="0" borderId="25" xfId="0" applyNumberFormat="1" applyFont="1" applyBorder="1" applyAlignment="1">
      <alignment horizontal="right" vertical="center"/>
    </xf>
    <xf numFmtId="41" fontId="15" fillId="0" borderId="15" xfId="35" applyFont="1" applyBorder="1" applyAlignment="1">
      <alignment horizontal="right" vertical="center"/>
    </xf>
    <xf numFmtId="177" fontId="27" fillId="4" borderId="19" xfId="0" applyNumberFormat="1" applyFont="1" applyFill="1" applyBorder="1" applyAlignment="1">
      <alignment horizontal="right" vertical="center"/>
    </xf>
    <xf numFmtId="179" fontId="15" fillId="0" borderId="15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79" fontId="15" fillId="0" borderId="25" xfId="0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84" fontId="17" fillId="11" borderId="27" xfId="18" applyNumberFormat="1" applyFont="1" applyFill="1" applyBorder="1" applyAlignment="1">
      <alignment horizontal="right" vertical="center"/>
    </xf>
    <xf numFmtId="184" fontId="17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3" xfId="0" applyNumberFormat="1" applyFont="1" applyFill="1" applyBorder="1" applyAlignment="1">
      <alignment horizontal="right" vertical="center"/>
    </xf>
    <xf numFmtId="177" fontId="22" fillId="0" borderId="23" xfId="0" applyNumberFormat="1" applyFont="1" applyBorder="1" applyAlignment="1">
      <alignment horizontal="right" vertical="center"/>
    </xf>
    <xf numFmtId="0" fontId="22" fillId="0" borderId="23" xfId="0" applyFont="1" applyBorder="1" applyAlignment="1">
      <alignment horizontal="right" vertical="center"/>
    </xf>
    <xf numFmtId="177" fontId="27" fillId="4" borderId="24" xfId="0" applyNumberFormat="1" applyFont="1" applyFill="1" applyBorder="1" applyAlignment="1">
      <alignment horizontal="right" vertical="center"/>
    </xf>
    <xf numFmtId="0" fontId="27" fillId="0" borderId="25" xfId="0" applyFont="1" applyBorder="1" applyAlignment="1">
      <alignment horizontal="center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4" borderId="26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179" fontId="15" fillId="0" borderId="25" xfId="0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right" vertical="center"/>
    </xf>
    <xf numFmtId="179" fontId="15" fillId="0" borderId="23" xfId="0" applyNumberFormat="1" applyFont="1" applyFill="1" applyBorder="1" applyAlignment="1">
      <alignment horizontal="center" vertical="center"/>
    </xf>
    <xf numFmtId="0" fontId="27" fillId="9" borderId="23" xfId="0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177" fontId="27" fillId="11" borderId="28" xfId="0" applyNumberFormat="1" applyFont="1" applyFill="1" applyBorder="1" applyAlignment="1">
      <alignment horizontal="right" vertical="center"/>
    </xf>
    <xf numFmtId="177" fontId="27" fillId="11" borderId="29" xfId="0" applyNumberFormat="1" applyFont="1" applyFill="1" applyBorder="1" applyAlignment="1">
      <alignment horizontal="right" vertical="center"/>
    </xf>
    <xf numFmtId="176" fontId="27" fillId="11" borderId="28" xfId="0" applyNumberFormat="1" applyFont="1" applyFill="1" applyBorder="1" applyAlignment="1">
      <alignment horizontal="right" vertical="center"/>
    </xf>
    <xf numFmtId="176" fontId="27" fillId="11" borderId="29" xfId="0" applyNumberFormat="1" applyFont="1" applyFill="1" applyBorder="1" applyAlignment="1">
      <alignment horizontal="right" vertical="center"/>
    </xf>
    <xf numFmtId="184" fontId="17" fillId="11" borderId="28" xfId="0" applyNumberFormat="1" applyFont="1" applyFill="1" applyBorder="1" applyAlignment="1">
      <alignment horizontal="right" vertical="center"/>
    </xf>
    <xf numFmtId="0" fontId="22" fillId="0" borderId="34" xfId="0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8" borderId="25" xfId="0" applyNumberFormat="1" applyFont="1" applyFill="1" applyBorder="1" applyAlignment="1">
      <alignment horizontal="center" vertical="center"/>
    </xf>
    <xf numFmtId="176" fontId="23" fillId="0" borderId="15" xfId="21" applyNumberFormat="1" applyFont="1" applyBorder="1">
      <alignment vertical="center"/>
    </xf>
    <xf numFmtId="41" fontId="15" fillId="0" borderId="25" xfId="35" applyFont="1" applyBorder="1" applyAlignment="1">
      <alignment horizontal="right" vertical="center"/>
    </xf>
    <xf numFmtId="179" fontId="15" fillId="8" borderId="25" xfId="18" applyNumberFormat="1" applyFont="1" applyFill="1" applyBorder="1" applyAlignment="1">
      <alignment horizontal="center" vertical="center"/>
    </xf>
    <xf numFmtId="176" fontId="22" fillId="0" borderId="15" xfId="21" applyNumberFormat="1" applyFont="1" applyBorder="1" applyAlignment="1">
      <alignment horizontal="right" vertical="center"/>
    </xf>
    <xf numFmtId="41" fontId="22" fillId="0" borderId="25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15" xfId="18" applyNumberFormat="1" applyFont="1" applyFill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177" fontId="28" fillId="11" borderId="28" xfId="0" applyNumberFormat="1" applyFont="1" applyFill="1" applyBorder="1" applyAlignment="1">
      <alignment horizontal="right" vertical="center"/>
    </xf>
    <xf numFmtId="177" fontId="15" fillId="0" borderId="15" xfId="18" applyNumberFormat="1" applyFont="1" applyFill="1" applyBorder="1" applyAlignment="1">
      <alignment horizontal="right" vertical="center"/>
    </xf>
    <xf numFmtId="177" fontId="15" fillId="0" borderId="25" xfId="18" applyNumberFormat="1" applyFont="1" applyFill="1" applyBorder="1" applyAlignment="1">
      <alignment horizontal="right" vertical="center"/>
    </xf>
    <xf numFmtId="177" fontId="15" fillId="0" borderId="25" xfId="0" applyNumberFormat="1" applyFont="1" applyFill="1" applyBorder="1" applyAlignment="1">
      <alignment horizontal="right" vertical="center"/>
    </xf>
    <xf numFmtId="177" fontId="15" fillId="0" borderId="15" xfId="0" applyNumberFormat="1" applyFont="1" applyFill="1" applyBorder="1" applyAlignment="1">
      <alignment horizontal="right" vertical="center"/>
    </xf>
    <xf numFmtId="177" fontId="15" fillId="0" borderId="23" xfId="18" applyNumberFormat="1" applyFont="1" applyFill="1" applyBorder="1" applyAlignment="1">
      <alignment horizontal="right" vertical="center"/>
    </xf>
    <xf numFmtId="177" fontId="15" fillId="0" borderId="23" xfId="0" applyNumberFormat="1" applyFont="1" applyFill="1" applyBorder="1" applyAlignment="1">
      <alignment horizontal="right" vertical="center"/>
    </xf>
    <xf numFmtId="177" fontId="17" fillId="11" borderId="27" xfId="18" applyNumberFormat="1" applyFont="1" applyFill="1" applyBorder="1" applyAlignment="1">
      <alignment horizontal="right" vertical="center"/>
    </xf>
    <xf numFmtId="177" fontId="17" fillId="11" borderId="28" xfId="18" applyNumberFormat="1" applyFont="1" applyFill="1" applyBorder="1" applyAlignment="1">
      <alignment horizontal="right" vertical="center"/>
    </xf>
    <xf numFmtId="177" fontId="17" fillId="11" borderId="28" xfId="0" applyNumberFormat="1" applyFont="1" applyFill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29" fillId="4" borderId="15" xfId="86" applyNumberFormat="1" applyFont="1" applyFill="1" applyBorder="1" applyAlignment="1">
      <alignment horizontal="right" vertical="center"/>
    </xf>
    <xf numFmtId="176" fontId="29" fillId="4" borderId="15" xfId="10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22" fillId="0" borderId="15" xfId="21" applyNumberFormat="1" applyFont="1" applyBorder="1" applyAlignment="1">
      <alignment horizontal="right" vertical="center"/>
    </xf>
    <xf numFmtId="177" fontId="27" fillId="11" borderId="24" xfId="0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0" fontId="22" fillId="0" borderId="2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84" fontId="30" fillId="11" borderId="28" xfId="18" applyNumberFormat="1" applyFont="1" applyFill="1" applyBorder="1" applyAlignment="1">
      <alignment horizontal="right" vertical="center"/>
    </xf>
    <xf numFmtId="176" fontId="23" fillId="0" borderId="15" xfId="21" applyNumberFormat="1" applyFont="1" applyBorder="1">
      <alignment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84" fontId="30" fillId="11" borderId="28" xfId="18" applyNumberFormat="1" applyFont="1" applyFill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9" fontId="15" fillId="0" borderId="25" xfId="18" applyNumberFormat="1" applyFont="1" applyBorder="1" applyAlignment="1">
      <alignment horizontal="right" vertical="center"/>
    </xf>
    <xf numFmtId="179" fontId="15" fillId="0" borderId="23" xfId="18" applyNumberFormat="1" applyFont="1" applyFill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6" fontId="15" fillId="0" borderId="15" xfId="18" applyNumberFormat="1" applyFont="1" applyBorder="1" applyAlignment="1">
      <alignment horizontal="right" vertical="center"/>
    </xf>
    <xf numFmtId="179" fontId="15" fillId="0" borderId="25" xfId="18" applyNumberFormat="1" applyFont="1" applyFill="1" applyBorder="1" applyAlignment="1">
      <alignment horizontal="center" vertical="center"/>
    </xf>
    <xf numFmtId="179" fontId="15" fillId="0" borderId="15" xfId="18" applyNumberFormat="1" applyFont="1" applyFill="1" applyBorder="1" applyAlignment="1">
      <alignment horizontal="center" vertical="center"/>
    </xf>
    <xf numFmtId="179" fontId="15" fillId="0" borderId="23" xfId="18" applyNumberFormat="1" applyFont="1" applyFill="1" applyBorder="1" applyAlignment="1">
      <alignment horizontal="center" vertical="center"/>
    </xf>
    <xf numFmtId="176" fontId="15" fillId="0" borderId="15" xfId="0" applyNumberFormat="1" applyFont="1" applyBorder="1" applyAlignment="1">
      <alignment horizontal="right" vertical="center"/>
    </xf>
    <xf numFmtId="184" fontId="30" fillId="11" borderId="28" xfId="0" applyNumberFormat="1" applyFont="1" applyFill="1" applyBorder="1" applyAlignment="1">
      <alignment horizontal="right" vertical="center"/>
    </xf>
    <xf numFmtId="179" fontId="15" fillId="0" borderId="23" xfId="0" applyNumberFormat="1" applyFont="1" applyBorder="1" applyAlignment="1">
      <alignment horizontal="right" vertical="center"/>
    </xf>
    <xf numFmtId="179" fontId="15" fillId="0" borderId="25" xfId="18" applyNumberFormat="1" applyFont="1" applyBorder="1" applyAlignment="1">
      <alignment horizontal="center" vertical="center"/>
    </xf>
    <xf numFmtId="179" fontId="15" fillId="0" borderId="15" xfId="18" applyNumberFormat="1" applyFont="1" applyBorder="1" applyAlignment="1">
      <alignment horizontal="center" vertical="center"/>
    </xf>
    <xf numFmtId="179" fontId="15" fillId="0" borderId="23" xfId="18" applyNumberFormat="1" applyFont="1" applyBorder="1" applyAlignment="1">
      <alignment horizontal="center" vertical="center"/>
    </xf>
    <xf numFmtId="9" fontId="17" fillId="8" borderId="23" xfId="18" applyNumberFormat="1" applyFont="1" applyFill="1" applyBorder="1" applyAlignment="1">
      <alignment horizontal="right"/>
    </xf>
    <xf numFmtId="9" fontId="17" fillId="8" borderId="23" xfId="18" quotePrefix="1" applyNumberFormat="1" applyFont="1" applyFill="1" applyBorder="1" applyAlignment="1">
      <alignment horizontal="right"/>
    </xf>
    <xf numFmtId="9" fontId="17" fillId="8" borderId="24" xfId="18" quotePrefix="1" applyNumberFormat="1" applyFont="1" applyFill="1" applyBorder="1" applyAlignment="1">
      <alignment horizontal="right"/>
    </xf>
    <xf numFmtId="0" fontId="27" fillId="9" borderId="22" xfId="0" applyFont="1" applyFill="1" applyBorder="1" applyAlignment="1">
      <alignment horizontal="center" vertical="center"/>
    </xf>
    <xf numFmtId="0" fontId="27" fillId="9" borderId="18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3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6" fillId="10" borderId="5" xfId="0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0" fillId="0" borderId="0" xfId="18" applyFont="1" applyBorder="1" applyAlignment="1">
      <alignment horizontal="right"/>
    </xf>
    <xf numFmtId="0" fontId="22" fillId="9" borderId="16" xfId="0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/>
    </xf>
    <xf numFmtId="0" fontId="22" fillId="9" borderId="18" xfId="0" applyFont="1" applyFill="1" applyBorder="1" applyAlignment="1">
      <alignment horizontal="center" vertical="center"/>
    </xf>
    <xf numFmtId="0" fontId="22" fillId="9" borderId="23" xfId="0" applyFont="1" applyFill="1" applyBorder="1" applyAlignment="1">
      <alignment horizontal="center" vertical="center"/>
    </xf>
    <xf numFmtId="0" fontId="27" fillId="9" borderId="36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7" fillId="9" borderId="38" xfId="0" applyFont="1" applyFill="1" applyBorder="1" applyAlignment="1">
      <alignment horizontal="center" vertical="center"/>
    </xf>
    <xf numFmtId="0" fontId="27" fillId="9" borderId="22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7" fillId="11" borderId="27" xfId="0" applyFont="1" applyFill="1" applyBorder="1" applyAlignment="1">
      <alignment horizontal="center" vertical="center"/>
    </xf>
    <xf numFmtId="0" fontId="27" fillId="11" borderId="28" xfId="0" applyFont="1" applyFill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7" fillId="9" borderId="20" xfId="0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27" fillId="9" borderId="30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425">
    <cellStyle name="20% - 강조색6 2" xfId="422" xr:uid="{00000000-0005-0000-0000-000000000000}"/>
    <cellStyle name="20% - 강조색6 3" xfId="423" xr:uid="{00000000-0005-0000-0000-000001000000}"/>
    <cellStyle name="20% - 강조색6 4" xfId="424" xr:uid="{00000000-0005-0000-0000-000002000000}"/>
    <cellStyle name="Comma [0]_5year" xfId="2" xr:uid="{00000000-0005-0000-0000-000003000000}"/>
    <cellStyle name="Comma_495ALL" xfId="3" xr:uid="{00000000-0005-0000-0000-000004000000}"/>
    <cellStyle name="Currency [0]_5year" xfId="4" xr:uid="{00000000-0005-0000-0000-000005000000}"/>
    <cellStyle name="Currency_495ALL" xfId="5" xr:uid="{00000000-0005-0000-0000-000006000000}"/>
    <cellStyle name="Grey" xfId="6" xr:uid="{00000000-0005-0000-0000-000007000000}"/>
    <cellStyle name="Input [yellow]" xfId="7" xr:uid="{00000000-0005-0000-0000-000008000000}"/>
    <cellStyle name="Milliers [0]_AR1194" xfId="8" xr:uid="{00000000-0005-0000-0000-000009000000}"/>
    <cellStyle name="Milliers_AR1194" xfId="9" xr:uid="{00000000-0005-0000-0000-00000A000000}"/>
    <cellStyle name="Mon?aire [0]_AR1194" xfId="10" xr:uid="{00000000-0005-0000-0000-00000B000000}"/>
    <cellStyle name="Mon?aire_AR1194" xfId="11" xr:uid="{00000000-0005-0000-0000-00000C000000}"/>
    <cellStyle name="Normal - Style1" xfId="12" xr:uid="{00000000-0005-0000-0000-00000D000000}"/>
    <cellStyle name="Normal_495ALL" xfId="13" xr:uid="{00000000-0005-0000-0000-00000E000000}"/>
    <cellStyle name="Percent [2]" xfId="14" xr:uid="{00000000-0005-0000-0000-00000F000000}"/>
    <cellStyle name="PERCENTAGE" xfId="15" xr:uid="{00000000-0005-0000-0000-000010000000}"/>
    <cellStyle name="백분율 2" xfId="58" xr:uid="{00000000-0005-0000-0000-000011000000}"/>
    <cellStyle name="백분율 3" xfId="59" xr:uid="{00000000-0005-0000-0000-000012000000}"/>
    <cellStyle name="백분율 4" xfId="57" xr:uid="{00000000-0005-0000-0000-000013000000}"/>
    <cellStyle name="쉼표 [0]" xfId="35" builtinId="6"/>
    <cellStyle name="쉼표 [0] 2" xfId="19" xr:uid="{00000000-0005-0000-0000-000015000000}"/>
    <cellStyle name="쉼표 [0] 2 2" xfId="61" xr:uid="{00000000-0005-0000-0000-000016000000}"/>
    <cellStyle name="쉼표 [0] 3" xfId="16" xr:uid="{00000000-0005-0000-0000-000017000000}"/>
    <cellStyle name="쉼표 [0] 3 2" xfId="39" xr:uid="{00000000-0005-0000-0000-000018000000}"/>
    <cellStyle name="쉼표 [0] 3 3" xfId="62" xr:uid="{00000000-0005-0000-0000-000019000000}"/>
    <cellStyle name="쉼표 [0] 3 4" xfId="36" xr:uid="{00000000-0005-0000-0000-00001A000000}"/>
    <cellStyle name="쉼표 [0] 4" xfId="34" xr:uid="{00000000-0005-0000-0000-00001B000000}"/>
    <cellStyle name="쉼표 [0] 5" xfId="55" xr:uid="{00000000-0005-0000-0000-00001C000000}"/>
    <cellStyle name="쉼표 [0] 5 2" xfId="101" xr:uid="{00000000-0005-0000-0000-00001D000000}"/>
    <cellStyle name="쉼표 [0] 5 2 2" xfId="165" xr:uid="{00000000-0005-0000-0000-00001E000000}"/>
    <cellStyle name="쉼표 [0] 5 2 3" xfId="293" xr:uid="{00000000-0005-0000-0000-00001F000000}"/>
    <cellStyle name="쉼표 [0] 5 2 4" xfId="229" xr:uid="{00000000-0005-0000-0000-000020000000}"/>
    <cellStyle name="쉼표 [0] 5 2 5" xfId="357" xr:uid="{00000000-0005-0000-0000-000021000000}"/>
    <cellStyle name="쉼표 [0] 5 2 6" xfId="421" xr:uid="{00000000-0005-0000-0000-000022000000}"/>
    <cellStyle name="쉼표 [0] 5 3" xfId="133" xr:uid="{00000000-0005-0000-0000-000023000000}"/>
    <cellStyle name="쉼표 [0] 5 4" xfId="261" xr:uid="{00000000-0005-0000-0000-000024000000}"/>
    <cellStyle name="쉼표 [0] 5 5" xfId="197" xr:uid="{00000000-0005-0000-0000-000025000000}"/>
    <cellStyle name="쉼표 [0] 5 6" xfId="325" xr:uid="{00000000-0005-0000-0000-000026000000}"/>
    <cellStyle name="쉼표 [0] 5 7" xfId="389" xr:uid="{00000000-0005-0000-0000-000027000000}"/>
    <cellStyle name="쉼표 [0] 6" xfId="60" xr:uid="{00000000-0005-0000-0000-000028000000}"/>
    <cellStyle name="표준" xfId="0" builtinId="0"/>
    <cellStyle name="표준 2" xfId="18" xr:uid="{00000000-0005-0000-0000-00002A000000}"/>
    <cellStyle name="표준 2 2" xfId="63" xr:uid="{00000000-0005-0000-0000-00002B000000}"/>
    <cellStyle name="표준 3" xfId="17" xr:uid="{00000000-0005-0000-0000-00002C000000}"/>
    <cellStyle name="표준 3 10" xfId="70" xr:uid="{00000000-0005-0000-0000-00002D000000}"/>
    <cellStyle name="표준 3 10 2" xfId="134" xr:uid="{00000000-0005-0000-0000-00002E000000}"/>
    <cellStyle name="표준 3 10 3" xfId="262" xr:uid="{00000000-0005-0000-0000-00002F000000}"/>
    <cellStyle name="표준 3 10 4" xfId="198" xr:uid="{00000000-0005-0000-0000-000030000000}"/>
    <cellStyle name="표준 3 10 5" xfId="326" xr:uid="{00000000-0005-0000-0000-000031000000}"/>
    <cellStyle name="표준 3 10 6" xfId="390" xr:uid="{00000000-0005-0000-0000-000032000000}"/>
    <cellStyle name="표준 3 11" xfId="102" xr:uid="{00000000-0005-0000-0000-000033000000}"/>
    <cellStyle name="표준 3 12" xfId="230" xr:uid="{00000000-0005-0000-0000-000034000000}"/>
    <cellStyle name="표준 3 13" xfId="166" xr:uid="{00000000-0005-0000-0000-000035000000}"/>
    <cellStyle name="표준 3 14" xfId="294" xr:uid="{00000000-0005-0000-0000-000036000000}"/>
    <cellStyle name="표준 3 15" xfId="358" xr:uid="{00000000-0005-0000-0000-000037000000}"/>
    <cellStyle name="표준 3 2" xfId="20" xr:uid="{00000000-0005-0000-0000-000038000000}"/>
    <cellStyle name="표준 3 2 10" xfId="167" xr:uid="{00000000-0005-0000-0000-000039000000}"/>
    <cellStyle name="표준 3 2 11" xfId="295" xr:uid="{00000000-0005-0000-0000-00003A000000}"/>
    <cellStyle name="표준 3 2 12" xfId="359" xr:uid="{00000000-0005-0000-0000-00003B000000}"/>
    <cellStyle name="표준 3 2 2" xfId="25" xr:uid="{00000000-0005-0000-0000-00003C000000}"/>
    <cellStyle name="표준 3 2 2 2" xfId="33" xr:uid="{00000000-0005-0000-0000-00003D000000}"/>
    <cellStyle name="표준 3 2 2 2 2" xfId="54" xr:uid="{00000000-0005-0000-0000-00003E000000}"/>
    <cellStyle name="표준 3 2 2 2 2 2" xfId="100" xr:uid="{00000000-0005-0000-0000-00003F000000}"/>
    <cellStyle name="표준 3 2 2 2 2 2 2" xfId="164" xr:uid="{00000000-0005-0000-0000-000040000000}"/>
    <cellStyle name="표준 3 2 2 2 2 2 3" xfId="292" xr:uid="{00000000-0005-0000-0000-000041000000}"/>
    <cellStyle name="표준 3 2 2 2 2 2 4" xfId="228" xr:uid="{00000000-0005-0000-0000-000042000000}"/>
    <cellStyle name="표준 3 2 2 2 2 2 5" xfId="356" xr:uid="{00000000-0005-0000-0000-000043000000}"/>
    <cellStyle name="표준 3 2 2 2 2 2 6" xfId="420" xr:uid="{00000000-0005-0000-0000-000044000000}"/>
    <cellStyle name="표준 3 2 2 2 2 3" xfId="132" xr:uid="{00000000-0005-0000-0000-000045000000}"/>
    <cellStyle name="표준 3 2 2 2 2 4" xfId="260" xr:uid="{00000000-0005-0000-0000-000046000000}"/>
    <cellStyle name="표준 3 2 2 2 2 5" xfId="196" xr:uid="{00000000-0005-0000-0000-000047000000}"/>
    <cellStyle name="표준 3 2 2 2 2 6" xfId="324" xr:uid="{00000000-0005-0000-0000-000048000000}"/>
    <cellStyle name="표준 3 2 2 2 2 7" xfId="388" xr:uid="{00000000-0005-0000-0000-000049000000}"/>
    <cellStyle name="표준 3 2 2 2 3" xfId="85" xr:uid="{00000000-0005-0000-0000-00004A000000}"/>
    <cellStyle name="표준 3 2 2 2 3 2" xfId="149" xr:uid="{00000000-0005-0000-0000-00004B000000}"/>
    <cellStyle name="표준 3 2 2 2 3 3" xfId="277" xr:uid="{00000000-0005-0000-0000-00004C000000}"/>
    <cellStyle name="표준 3 2 2 2 3 4" xfId="213" xr:uid="{00000000-0005-0000-0000-00004D000000}"/>
    <cellStyle name="표준 3 2 2 2 3 5" xfId="341" xr:uid="{00000000-0005-0000-0000-00004E000000}"/>
    <cellStyle name="표준 3 2 2 2 3 6" xfId="405" xr:uid="{00000000-0005-0000-0000-00004F000000}"/>
    <cellStyle name="표준 3 2 2 2 4" xfId="117" xr:uid="{00000000-0005-0000-0000-000050000000}"/>
    <cellStyle name="표준 3 2 2 2 5" xfId="245" xr:uid="{00000000-0005-0000-0000-000051000000}"/>
    <cellStyle name="표준 3 2 2 2 6" xfId="181" xr:uid="{00000000-0005-0000-0000-000052000000}"/>
    <cellStyle name="표준 3 2 2 2 7" xfId="309" xr:uid="{00000000-0005-0000-0000-000053000000}"/>
    <cellStyle name="표준 3 2 2 2 8" xfId="373" xr:uid="{00000000-0005-0000-0000-000054000000}"/>
    <cellStyle name="표준 3 2 2 3" xfId="46" xr:uid="{00000000-0005-0000-0000-000055000000}"/>
    <cellStyle name="표준 3 2 2 3 2" xfId="92" xr:uid="{00000000-0005-0000-0000-000056000000}"/>
    <cellStyle name="표준 3 2 2 3 2 2" xfId="156" xr:uid="{00000000-0005-0000-0000-000057000000}"/>
    <cellStyle name="표준 3 2 2 3 2 3" xfId="284" xr:uid="{00000000-0005-0000-0000-000058000000}"/>
    <cellStyle name="표준 3 2 2 3 2 4" xfId="220" xr:uid="{00000000-0005-0000-0000-000059000000}"/>
    <cellStyle name="표준 3 2 2 3 2 5" xfId="348" xr:uid="{00000000-0005-0000-0000-00005A000000}"/>
    <cellStyle name="표준 3 2 2 3 2 6" xfId="412" xr:uid="{00000000-0005-0000-0000-00005B000000}"/>
    <cellStyle name="표준 3 2 2 3 3" xfId="124" xr:uid="{00000000-0005-0000-0000-00005C000000}"/>
    <cellStyle name="표준 3 2 2 3 4" xfId="252" xr:uid="{00000000-0005-0000-0000-00005D000000}"/>
    <cellStyle name="표준 3 2 2 3 5" xfId="188" xr:uid="{00000000-0005-0000-0000-00005E000000}"/>
    <cellStyle name="표준 3 2 2 3 6" xfId="316" xr:uid="{00000000-0005-0000-0000-00005F000000}"/>
    <cellStyle name="표준 3 2 2 3 7" xfId="380" xr:uid="{00000000-0005-0000-0000-000060000000}"/>
    <cellStyle name="표준 3 2 2 4" xfId="77" xr:uid="{00000000-0005-0000-0000-000061000000}"/>
    <cellStyle name="표준 3 2 2 4 2" xfId="141" xr:uid="{00000000-0005-0000-0000-000062000000}"/>
    <cellStyle name="표준 3 2 2 4 3" xfId="269" xr:uid="{00000000-0005-0000-0000-000063000000}"/>
    <cellStyle name="표준 3 2 2 4 4" xfId="205" xr:uid="{00000000-0005-0000-0000-000064000000}"/>
    <cellStyle name="표준 3 2 2 4 5" xfId="333" xr:uid="{00000000-0005-0000-0000-000065000000}"/>
    <cellStyle name="표준 3 2 2 4 6" xfId="397" xr:uid="{00000000-0005-0000-0000-000066000000}"/>
    <cellStyle name="표준 3 2 2 5" xfId="109" xr:uid="{00000000-0005-0000-0000-000067000000}"/>
    <cellStyle name="표준 3 2 2 6" xfId="237" xr:uid="{00000000-0005-0000-0000-000068000000}"/>
    <cellStyle name="표준 3 2 2 7" xfId="173" xr:uid="{00000000-0005-0000-0000-000069000000}"/>
    <cellStyle name="표준 3 2 2 8" xfId="301" xr:uid="{00000000-0005-0000-0000-00006A000000}"/>
    <cellStyle name="표준 3 2 2 9" xfId="365" xr:uid="{00000000-0005-0000-0000-00006B000000}"/>
    <cellStyle name="표준 3 2 3" xfId="23" xr:uid="{00000000-0005-0000-0000-00006C000000}"/>
    <cellStyle name="표준 3 2 3 2" xfId="31" xr:uid="{00000000-0005-0000-0000-00006D000000}"/>
    <cellStyle name="표준 3 2 3 2 2" xfId="52" xr:uid="{00000000-0005-0000-0000-00006E000000}"/>
    <cellStyle name="표준 3 2 3 2 2 2" xfId="98" xr:uid="{00000000-0005-0000-0000-00006F000000}"/>
    <cellStyle name="표준 3 2 3 2 2 2 2" xfId="162" xr:uid="{00000000-0005-0000-0000-000070000000}"/>
    <cellStyle name="표준 3 2 3 2 2 2 3" xfId="290" xr:uid="{00000000-0005-0000-0000-000071000000}"/>
    <cellStyle name="표준 3 2 3 2 2 2 4" xfId="226" xr:uid="{00000000-0005-0000-0000-000072000000}"/>
    <cellStyle name="표준 3 2 3 2 2 2 5" xfId="354" xr:uid="{00000000-0005-0000-0000-000073000000}"/>
    <cellStyle name="표준 3 2 3 2 2 2 6" xfId="418" xr:uid="{00000000-0005-0000-0000-000074000000}"/>
    <cellStyle name="표준 3 2 3 2 2 3" xfId="130" xr:uid="{00000000-0005-0000-0000-000075000000}"/>
    <cellStyle name="표준 3 2 3 2 2 4" xfId="258" xr:uid="{00000000-0005-0000-0000-000076000000}"/>
    <cellStyle name="표준 3 2 3 2 2 5" xfId="194" xr:uid="{00000000-0005-0000-0000-000077000000}"/>
    <cellStyle name="표준 3 2 3 2 2 6" xfId="322" xr:uid="{00000000-0005-0000-0000-000078000000}"/>
    <cellStyle name="표준 3 2 3 2 2 7" xfId="386" xr:uid="{00000000-0005-0000-0000-000079000000}"/>
    <cellStyle name="표준 3 2 3 2 3" xfId="83" xr:uid="{00000000-0005-0000-0000-00007A000000}"/>
    <cellStyle name="표준 3 2 3 2 3 2" xfId="147" xr:uid="{00000000-0005-0000-0000-00007B000000}"/>
    <cellStyle name="표준 3 2 3 2 3 3" xfId="275" xr:uid="{00000000-0005-0000-0000-00007C000000}"/>
    <cellStyle name="표준 3 2 3 2 3 4" xfId="211" xr:uid="{00000000-0005-0000-0000-00007D000000}"/>
    <cellStyle name="표준 3 2 3 2 3 5" xfId="339" xr:uid="{00000000-0005-0000-0000-00007E000000}"/>
    <cellStyle name="표준 3 2 3 2 3 6" xfId="403" xr:uid="{00000000-0005-0000-0000-00007F000000}"/>
    <cellStyle name="표준 3 2 3 2 4" xfId="115" xr:uid="{00000000-0005-0000-0000-000080000000}"/>
    <cellStyle name="표준 3 2 3 2 5" xfId="243" xr:uid="{00000000-0005-0000-0000-000081000000}"/>
    <cellStyle name="표준 3 2 3 2 6" xfId="179" xr:uid="{00000000-0005-0000-0000-000082000000}"/>
    <cellStyle name="표준 3 2 3 2 7" xfId="307" xr:uid="{00000000-0005-0000-0000-000083000000}"/>
    <cellStyle name="표준 3 2 3 2 8" xfId="371" xr:uid="{00000000-0005-0000-0000-000084000000}"/>
    <cellStyle name="표준 3 2 3 3" xfId="44" xr:uid="{00000000-0005-0000-0000-000085000000}"/>
    <cellStyle name="표준 3 2 3 3 2" xfId="90" xr:uid="{00000000-0005-0000-0000-000086000000}"/>
    <cellStyle name="표준 3 2 3 3 2 2" xfId="154" xr:uid="{00000000-0005-0000-0000-000087000000}"/>
    <cellStyle name="표준 3 2 3 3 2 3" xfId="282" xr:uid="{00000000-0005-0000-0000-000088000000}"/>
    <cellStyle name="표준 3 2 3 3 2 4" xfId="218" xr:uid="{00000000-0005-0000-0000-000089000000}"/>
    <cellStyle name="표준 3 2 3 3 2 5" xfId="346" xr:uid="{00000000-0005-0000-0000-00008A000000}"/>
    <cellStyle name="표준 3 2 3 3 2 6" xfId="410" xr:uid="{00000000-0005-0000-0000-00008B000000}"/>
    <cellStyle name="표준 3 2 3 3 3" xfId="122" xr:uid="{00000000-0005-0000-0000-00008C000000}"/>
    <cellStyle name="표준 3 2 3 3 4" xfId="250" xr:uid="{00000000-0005-0000-0000-00008D000000}"/>
    <cellStyle name="표준 3 2 3 3 5" xfId="186" xr:uid="{00000000-0005-0000-0000-00008E000000}"/>
    <cellStyle name="표준 3 2 3 3 6" xfId="314" xr:uid="{00000000-0005-0000-0000-00008F000000}"/>
    <cellStyle name="표준 3 2 3 3 7" xfId="378" xr:uid="{00000000-0005-0000-0000-000090000000}"/>
    <cellStyle name="표준 3 2 3 4" xfId="75" xr:uid="{00000000-0005-0000-0000-000091000000}"/>
    <cellStyle name="표준 3 2 3 4 2" xfId="139" xr:uid="{00000000-0005-0000-0000-000092000000}"/>
    <cellStyle name="표준 3 2 3 4 3" xfId="267" xr:uid="{00000000-0005-0000-0000-000093000000}"/>
    <cellStyle name="표준 3 2 3 4 4" xfId="203" xr:uid="{00000000-0005-0000-0000-000094000000}"/>
    <cellStyle name="표준 3 2 3 4 5" xfId="331" xr:uid="{00000000-0005-0000-0000-000095000000}"/>
    <cellStyle name="표준 3 2 3 4 6" xfId="395" xr:uid="{00000000-0005-0000-0000-000096000000}"/>
    <cellStyle name="표준 3 2 3 5" xfId="107" xr:uid="{00000000-0005-0000-0000-000097000000}"/>
    <cellStyle name="표준 3 2 3 6" xfId="235" xr:uid="{00000000-0005-0000-0000-000098000000}"/>
    <cellStyle name="표준 3 2 3 7" xfId="171" xr:uid="{00000000-0005-0000-0000-000099000000}"/>
    <cellStyle name="표준 3 2 3 8" xfId="299" xr:uid="{00000000-0005-0000-0000-00009A000000}"/>
    <cellStyle name="표준 3 2 3 9" xfId="363" xr:uid="{00000000-0005-0000-0000-00009B000000}"/>
    <cellStyle name="표준 3 2 4" xfId="29" xr:uid="{00000000-0005-0000-0000-00009C000000}"/>
    <cellStyle name="표준 3 2 4 2" xfId="50" xr:uid="{00000000-0005-0000-0000-00009D000000}"/>
    <cellStyle name="표준 3 2 4 2 2" xfId="96" xr:uid="{00000000-0005-0000-0000-00009E000000}"/>
    <cellStyle name="표준 3 2 4 2 2 2" xfId="160" xr:uid="{00000000-0005-0000-0000-00009F000000}"/>
    <cellStyle name="표준 3 2 4 2 2 3" xfId="288" xr:uid="{00000000-0005-0000-0000-0000A0000000}"/>
    <cellStyle name="표준 3 2 4 2 2 4" xfId="224" xr:uid="{00000000-0005-0000-0000-0000A1000000}"/>
    <cellStyle name="표준 3 2 4 2 2 5" xfId="352" xr:uid="{00000000-0005-0000-0000-0000A2000000}"/>
    <cellStyle name="표준 3 2 4 2 2 6" xfId="416" xr:uid="{00000000-0005-0000-0000-0000A3000000}"/>
    <cellStyle name="표준 3 2 4 2 3" xfId="128" xr:uid="{00000000-0005-0000-0000-0000A4000000}"/>
    <cellStyle name="표준 3 2 4 2 4" xfId="256" xr:uid="{00000000-0005-0000-0000-0000A5000000}"/>
    <cellStyle name="표준 3 2 4 2 5" xfId="192" xr:uid="{00000000-0005-0000-0000-0000A6000000}"/>
    <cellStyle name="표준 3 2 4 2 6" xfId="320" xr:uid="{00000000-0005-0000-0000-0000A7000000}"/>
    <cellStyle name="표준 3 2 4 2 7" xfId="384" xr:uid="{00000000-0005-0000-0000-0000A8000000}"/>
    <cellStyle name="표준 3 2 4 3" xfId="81" xr:uid="{00000000-0005-0000-0000-0000A9000000}"/>
    <cellStyle name="표준 3 2 4 3 2" xfId="145" xr:uid="{00000000-0005-0000-0000-0000AA000000}"/>
    <cellStyle name="표준 3 2 4 3 3" xfId="273" xr:uid="{00000000-0005-0000-0000-0000AB000000}"/>
    <cellStyle name="표준 3 2 4 3 4" xfId="209" xr:uid="{00000000-0005-0000-0000-0000AC000000}"/>
    <cellStyle name="표준 3 2 4 3 5" xfId="337" xr:uid="{00000000-0005-0000-0000-0000AD000000}"/>
    <cellStyle name="표준 3 2 4 3 6" xfId="401" xr:uid="{00000000-0005-0000-0000-0000AE000000}"/>
    <cellStyle name="표준 3 2 4 4" xfId="113" xr:uid="{00000000-0005-0000-0000-0000AF000000}"/>
    <cellStyle name="표준 3 2 4 5" xfId="241" xr:uid="{00000000-0005-0000-0000-0000B0000000}"/>
    <cellStyle name="표준 3 2 4 6" xfId="177" xr:uid="{00000000-0005-0000-0000-0000B1000000}"/>
    <cellStyle name="표준 3 2 4 7" xfId="305" xr:uid="{00000000-0005-0000-0000-0000B2000000}"/>
    <cellStyle name="표준 3 2 4 8" xfId="369" xr:uid="{00000000-0005-0000-0000-0000B3000000}"/>
    <cellStyle name="표준 3 2 5" xfId="42" xr:uid="{00000000-0005-0000-0000-0000B4000000}"/>
    <cellStyle name="표준 3 2 5 2" xfId="88" xr:uid="{00000000-0005-0000-0000-0000B5000000}"/>
    <cellStyle name="표준 3 2 5 2 2" xfId="152" xr:uid="{00000000-0005-0000-0000-0000B6000000}"/>
    <cellStyle name="표준 3 2 5 2 3" xfId="280" xr:uid="{00000000-0005-0000-0000-0000B7000000}"/>
    <cellStyle name="표준 3 2 5 2 4" xfId="216" xr:uid="{00000000-0005-0000-0000-0000B8000000}"/>
    <cellStyle name="표준 3 2 5 2 5" xfId="344" xr:uid="{00000000-0005-0000-0000-0000B9000000}"/>
    <cellStyle name="표준 3 2 5 2 6" xfId="408" xr:uid="{00000000-0005-0000-0000-0000BA000000}"/>
    <cellStyle name="표준 3 2 5 3" xfId="120" xr:uid="{00000000-0005-0000-0000-0000BB000000}"/>
    <cellStyle name="표준 3 2 5 4" xfId="248" xr:uid="{00000000-0005-0000-0000-0000BC000000}"/>
    <cellStyle name="표준 3 2 5 5" xfId="184" xr:uid="{00000000-0005-0000-0000-0000BD000000}"/>
    <cellStyle name="표준 3 2 5 6" xfId="312" xr:uid="{00000000-0005-0000-0000-0000BE000000}"/>
    <cellStyle name="표준 3 2 5 7" xfId="376" xr:uid="{00000000-0005-0000-0000-0000BF000000}"/>
    <cellStyle name="표준 3 2 6" xfId="38" xr:uid="{00000000-0005-0000-0000-0000C0000000}"/>
    <cellStyle name="표준 3 2 6 2" xfId="73" xr:uid="{00000000-0005-0000-0000-0000C1000000}"/>
    <cellStyle name="표준 3 2 6 2 2" xfId="137" xr:uid="{00000000-0005-0000-0000-0000C2000000}"/>
    <cellStyle name="표준 3 2 6 2 3" xfId="265" xr:uid="{00000000-0005-0000-0000-0000C3000000}"/>
    <cellStyle name="표준 3 2 6 2 4" xfId="201" xr:uid="{00000000-0005-0000-0000-0000C4000000}"/>
    <cellStyle name="표준 3 2 6 2 5" xfId="329" xr:uid="{00000000-0005-0000-0000-0000C5000000}"/>
    <cellStyle name="표준 3 2 6 2 6" xfId="393" xr:uid="{00000000-0005-0000-0000-0000C6000000}"/>
    <cellStyle name="표준 3 2 6 3" xfId="105" xr:uid="{00000000-0005-0000-0000-0000C7000000}"/>
    <cellStyle name="표준 3 2 6 4" xfId="233" xr:uid="{00000000-0005-0000-0000-0000C8000000}"/>
    <cellStyle name="표준 3 2 6 5" xfId="169" xr:uid="{00000000-0005-0000-0000-0000C9000000}"/>
    <cellStyle name="표준 3 2 6 6" xfId="297" xr:uid="{00000000-0005-0000-0000-0000CA000000}"/>
    <cellStyle name="표준 3 2 6 7" xfId="361" xr:uid="{00000000-0005-0000-0000-0000CB000000}"/>
    <cellStyle name="표준 3 2 7" xfId="71" xr:uid="{00000000-0005-0000-0000-0000CC000000}"/>
    <cellStyle name="표준 3 2 7 2" xfId="135" xr:uid="{00000000-0005-0000-0000-0000CD000000}"/>
    <cellStyle name="표준 3 2 7 3" xfId="263" xr:uid="{00000000-0005-0000-0000-0000CE000000}"/>
    <cellStyle name="표준 3 2 7 4" xfId="199" xr:uid="{00000000-0005-0000-0000-0000CF000000}"/>
    <cellStyle name="표준 3 2 7 5" xfId="327" xr:uid="{00000000-0005-0000-0000-0000D0000000}"/>
    <cellStyle name="표준 3 2 7 6" xfId="391" xr:uid="{00000000-0005-0000-0000-0000D1000000}"/>
    <cellStyle name="표준 3 2 8" xfId="103" xr:uid="{00000000-0005-0000-0000-0000D2000000}"/>
    <cellStyle name="표준 3 2 9" xfId="231" xr:uid="{00000000-0005-0000-0000-0000D3000000}"/>
    <cellStyle name="표준 3 3" xfId="24" xr:uid="{00000000-0005-0000-0000-0000D4000000}"/>
    <cellStyle name="표준 3 3 2" xfId="32" xr:uid="{00000000-0005-0000-0000-0000D5000000}"/>
    <cellStyle name="표준 3 3 2 2" xfId="53" xr:uid="{00000000-0005-0000-0000-0000D6000000}"/>
    <cellStyle name="표준 3 3 2 2 2" xfId="99" xr:uid="{00000000-0005-0000-0000-0000D7000000}"/>
    <cellStyle name="표준 3 3 2 2 2 2" xfId="163" xr:uid="{00000000-0005-0000-0000-0000D8000000}"/>
    <cellStyle name="표준 3 3 2 2 2 3" xfId="291" xr:uid="{00000000-0005-0000-0000-0000D9000000}"/>
    <cellStyle name="표준 3 3 2 2 2 4" xfId="227" xr:uid="{00000000-0005-0000-0000-0000DA000000}"/>
    <cellStyle name="표준 3 3 2 2 2 5" xfId="355" xr:uid="{00000000-0005-0000-0000-0000DB000000}"/>
    <cellStyle name="표준 3 3 2 2 2 6" xfId="419" xr:uid="{00000000-0005-0000-0000-0000DC000000}"/>
    <cellStyle name="표준 3 3 2 2 3" xfId="131" xr:uid="{00000000-0005-0000-0000-0000DD000000}"/>
    <cellStyle name="표준 3 3 2 2 4" xfId="259" xr:uid="{00000000-0005-0000-0000-0000DE000000}"/>
    <cellStyle name="표준 3 3 2 2 5" xfId="195" xr:uid="{00000000-0005-0000-0000-0000DF000000}"/>
    <cellStyle name="표준 3 3 2 2 6" xfId="323" xr:uid="{00000000-0005-0000-0000-0000E0000000}"/>
    <cellStyle name="표준 3 3 2 2 7" xfId="387" xr:uid="{00000000-0005-0000-0000-0000E1000000}"/>
    <cellStyle name="표준 3 3 2 3" xfId="84" xr:uid="{00000000-0005-0000-0000-0000E2000000}"/>
    <cellStyle name="표준 3 3 2 3 2" xfId="148" xr:uid="{00000000-0005-0000-0000-0000E3000000}"/>
    <cellStyle name="표준 3 3 2 3 3" xfId="276" xr:uid="{00000000-0005-0000-0000-0000E4000000}"/>
    <cellStyle name="표준 3 3 2 3 4" xfId="212" xr:uid="{00000000-0005-0000-0000-0000E5000000}"/>
    <cellStyle name="표준 3 3 2 3 5" xfId="340" xr:uid="{00000000-0005-0000-0000-0000E6000000}"/>
    <cellStyle name="표준 3 3 2 3 6" xfId="404" xr:uid="{00000000-0005-0000-0000-0000E7000000}"/>
    <cellStyle name="표준 3 3 2 4" xfId="116" xr:uid="{00000000-0005-0000-0000-0000E8000000}"/>
    <cellStyle name="표준 3 3 2 5" xfId="244" xr:uid="{00000000-0005-0000-0000-0000E9000000}"/>
    <cellStyle name="표준 3 3 2 6" xfId="180" xr:uid="{00000000-0005-0000-0000-0000EA000000}"/>
    <cellStyle name="표준 3 3 2 7" xfId="308" xr:uid="{00000000-0005-0000-0000-0000EB000000}"/>
    <cellStyle name="표준 3 3 2 8" xfId="372" xr:uid="{00000000-0005-0000-0000-0000EC000000}"/>
    <cellStyle name="표준 3 3 3" xfId="45" xr:uid="{00000000-0005-0000-0000-0000ED000000}"/>
    <cellStyle name="표준 3 3 3 2" xfId="91" xr:uid="{00000000-0005-0000-0000-0000EE000000}"/>
    <cellStyle name="표준 3 3 3 2 2" xfId="155" xr:uid="{00000000-0005-0000-0000-0000EF000000}"/>
    <cellStyle name="표준 3 3 3 2 3" xfId="283" xr:uid="{00000000-0005-0000-0000-0000F0000000}"/>
    <cellStyle name="표준 3 3 3 2 4" xfId="219" xr:uid="{00000000-0005-0000-0000-0000F1000000}"/>
    <cellStyle name="표준 3 3 3 2 5" xfId="347" xr:uid="{00000000-0005-0000-0000-0000F2000000}"/>
    <cellStyle name="표준 3 3 3 2 6" xfId="411" xr:uid="{00000000-0005-0000-0000-0000F3000000}"/>
    <cellStyle name="표준 3 3 3 3" xfId="123" xr:uid="{00000000-0005-0000-0000-0000F4000000}"/>
    <cellStyle name="표준 3 3 3 4" xfId="251" xr:uid="{00000000-0005-0000-0000-0000F5000000}"/>
    <cellStyle name="표준 3 3 3 5" xfId="187" xr:uid="{00000000-0005-0000-0000-0000F6000000}"/>
    <cellStyle name="표준 3 3 3 6" xfId="315" xr:uid="{00000000-0005-0000-0000-0000F7000000}"/>
    <cellStyle name="표준 3 3 3 7" xfId="379" xr:uid="{00000000-0005-0000-0000-0000F8000000}"/>
    <cellStyle name="표준 3 3 4" xfId="76" xr:uid="{00000000-0005-0000-0000-0000F9000000}"/>
    <cellStyle name="표준 3 3 4 2" xfId="140" xr:uid="{00000000-0005-0000-0000-0000FA000000}"/>
    <cellStyle name="표준 3 3 4 3" xfId="268" xr:uid="{00000000-0005-0000-0000-0000FB000000}"/>
    <cellStyle name="표준 3 3 4 4" xfId="204" xr:uid="{00000000-0005-0000-0000-0000FC000000}"/>
    <cellStyle name="표준 3 3 4 5" xfId="332" xr:uid="{00000000-0005-0000-0000-0000FD000000}"/>
    <cellStyle name="표준 3 3 4 6" xfId="396" xr:uid="{00000000-0005-0000-0000-0000FE000000}"/>
    <cellStyle name="표준 3 3 5" xfId="108" xr:uid="{00000000-0005-0000-0000-0000FF000000}"/>
    <cellStyle name="표준 3 3 6" xfId="236" xr:uid="{00000000-0005-0000-0000-000000010000}"/>
    <cellStyle name="표준 3 3 7" xfId="172" xr:uid="{00000000-0005-0000-0000-000001010000}"/>
    <cellStyle name="표준 3 3 8" xfId="300" xr:uid="{00000000-0005-0000-0000-000002010000}"/>
    <cellStyle name="표준 3 3 9" xfId="364" xr:uid="{00000000-0005-0000-0000-000003010000}"/>
    <cellStyle name="표준 3 4" xfId="22" xr:uid="{00000000-0005-0000-0000-000004010000}"/>
    <cellStyle name="표준 3 4 2" xfId="30" xr:uid="{00000000-0005-0000-0000-000005010000}"/>
    <cellStyle name="표준 3 4 2 2" xfId="51" xr:uid="{00000000-0005-0000-0000-000006010000}"/>
    <cellStyle name="표준 3 4 2 2 2" xfId="97" xr:uid="{00000000-0005-0000-0000-000007010000}"/>
    <cellStyle name="표준 3 4 2 2 2 2" xfId="161" xr:uid="{00000000-0005-0000-0000-000008010000}"/>
    <cellStyle name="표준 3 4 2 2 2 3" xfId="289" xr:uid="{00000000-0005-0000-0000-000009010000}"/>
    <cellStyle name="표준 3 4 2 2 2 4" xfId="225" xr:uid="{00000000-0005-0000-0000-00000A010000}"/>
    <cellStyle name="표준 3 4 2 2 2 5" xfId="353" xr:uid="{00000000-0005-0000-0000-00000B010000}"/>
    <cellStyle name="표준 3 4 2 2 2 6" xfId="417" xr:uid="{00000000-0005-0000-0000-00000C010000}"/>
    <cellStyle name="표준 3 4 2 2 3" xfId="129" xr:uid="{00000000-0005-0000-0000-00000D010000}"/>
    <cellStyle name="표준 3 4 2 2 4" xfId="257" xr:uid="{00000000-0005-0000-0000-00000E010000}"/>
    <cellStyle name="표준 3 4 2 2 5" xfId="193" xr:uid="{00000000-0005-0000-0000-00000F010000}"/>
    <cellStyle name="표준 3 4 2 2 6" xfId="321" xr:uid="{00000000-0005-0000-0000-000010010000}"/>
    <cellStyle name="표준 3 4 2 2 7" xfId="385" xr:uid="{00000000-0005-0000-0000-000011010000}"/>
    <cellStyle name="표준 3 4 2 3" xfId="82" xr:uid="{00000000-0005-0000-0000-000012010000}"/>
    <cellStyle name="표준 3 4 2 3 2" xfId="146" xr:uid="{00000000-0005-0000-0000-000013010000}"/>
    <cellStyle name="표준 3 4 2 3 3" xfId="274" xr:uid="{00000000-0005-0000-0000-000014010000}"/>
    <cellStyle name="표준 3 4 2 3 4" xfId="210" xr:uid="{00000000-0005-0000-0000-000015010000}"/>
    <cellStyle name="표준 3 4 2 3 5" xfId="338" xr:uid="{00000000-0005-0000-0000-000016010000}"/>
    <cellStyle name="표준 3 4 2 3 6" xfId="402" xr:uid="{00000000-0005-0000-0000-000017010000}"/>
    <cellStyle name="표준 3 4 2 4" xfId="114" xr:uid="{00000000-0005-0000-0000-000018010000}"/>
    <cellStyle name="표준 3 4 2 5" xfId="242" xr:uid="{00000000-0005-0000-0000-000019010000}"/>
    <cellStyle name="표준 3 4 2 6" xfId="178" xr:uid="{00000000-0005-0000-0000-00001A010000}"/>
    <cellStyle name="표준 3 4 2 7" xfId="306" xr:uid="{00000000-0005-0000-0000-00001B010000}"/>
    <cellStyle name="표준 3 4 2 8" xfId="370" xr:uid="{00000000-0005-0000-0000-00001C010000}"/>
    <cellStyle name="표준 3 4 3" xfId="43" xr:uid="{00000000-0005-0000-0000-00001D010000}"/>
    <cellStyle name="표준 3 4 3 2" xfId="89" xr:uid="{00000000-0005-0000-0000-00001E010000}"/>
    <cellStyle name="표준 3 4 3 2 2" xfId="153" xr:uid="{00000000-0005-0000-0000-00001F010000}"/>
    <cellStyle name="표준 3 4 3 2 3" xfId="281" xr:uid="{00000000-0005-0000-0000-000020010000}"/>
    <cellStyle name="표준 3 4 3 2 4" xfId="217" xr:uid="{00000000-0005-0000-0000-000021010000}"/>
    <cellStyle name="표준 3 4 3 2 5" xfId="345" xr:uid="{00000000-0005-0000-0000-000022010000}"/>
    <cellStyle name="표준 3 4 3 2 6" xfId="409" xr:uid="{00000000-0005-0000-0000-000023010000}"/>
    <cellStyle name="표준 3 4 3 3" xfId="121" xr:uid="{00000000-0005-0000-0000-000024010000}"/>
    <cellStyle name="표준 3 4 3 4" xfId="249" xr:uid="{00000000-0005-0000-0000-000025010000}"/>
    <cellStyle name="표준 3 4 3 5" xfId="185" xr:uid="{00000000-0005-0000-0000-000026010000}"/>
    <cellStyle name="표준 3 4 3 6" xfId="313" xr:uid="{00000000-0005-0000-0000-000027010000}"/>
    <cellStyle name="표준 3 4 3 7" xfId="377" xr:uid="{00000000-0005-0000-0000-000028010000}"/>
    <cellStyle name="표준 3 4 4" xfId="74" xr:uid="{00000000-0005-0000-0000-000029010000}"/>
    <cellStyle name="표준 3 4 4 2" xfId="138" xr:uid="{00000000-0005-0000-0000-00002A010000}"/>
    <cellStyle name="표준 3 4 4 3" xfId="266" xr:uid="{00000000-0005-0000-0000-00002B010000}"/>
    <cellStyle name="표준 3 4 4 4" xfId="202" xr:uid="{00000000-0005-0000-0000-00002C010000}"/>
    <cellStyle name="표준 3 4 4 5" xfId="330" xr:uid="{00000000-0005-0000-0000-00002D010000}"/>
    <cellStyle name="표준 3 4 4 6" xfId="394" xr:uid="{00000000-0005-0000-0000-00002E010000}"/>
    <cellStyle name="표준 3 4 5" xfId="106" xr:uid="{00000000-0005-0000-0000-00002F010000}"/>
    <cellStyle name="표준 3 4 6" xfId="234" xr:uid="{00000000-0005-0000-0000-000030010000}"/>
    <cellStyle name="표준 3 4 7" xfId="170" xr:uid="{00000000-0005-0000-0000-000031010000}"/>
    <cellStyle name="표준 3 4 8" xfId="298" xr:uid="{00000000-0005-0000-0000-000032010000}"/>
    <cellStyle name="표준 3 4 9" xfId="362" xr:uid="{00000000-0005-0000-0000-000033010000}"/>
    <cellStyle name="표준 3 5" xfId="26" xr:uid="{00000000-0005-0000-0000-000034010000}"/>
    <cellStyle name="표준 3 5 2" xfId="47" xr:uid="{00000000-0005-0000-0000-000035010000}"/>
    <cellStyle name="표준 3 5 2 2" xfId="93" xr:uid="{00000000-0005-0000-0000-000036010000}"/>
    <cellStyle name="표준 3 5 2 2 2" xfId="157" xr:uid="{00000000-0005-0000-0000-000037010000}"/>
    <cellStyle name="표준 3 5 2 2 3" xfId="285" xr:uid="{00000000-0005-0000-0000-000038010000}"/>
    <cellStyle name="표준 3 5 2 2 4" xfId="221" xr:uid="{00000000-0005-0000-0000-000039010000}"/>
    <cellStyle name="표준 3 5 2 2 5" xfId="349" xr:uid="{00000000-0005-0000-0000-00003A010000}"/>
    <cellStyle name="표준 3 5 2 2 6" xfId="413" xr:uid="{00000000-0005-0000-0000-00003B010000}"/>
    <cellStyle name="표준 3 5 2 3" xfId="125" xr:uid="{00000000-0005-0000-0000-00003C010000}"/>
    <cellStyle name="표준 3 5 2 4" xfId="253" xr:uid="{00000000-0005-0000-0000-00003D010000}"/>
    <cellStyle name="표준 3 5 2 5" xfId="189" xr:uid="{00000000-0005-0000-0000-00003E010000}"/>
    <cellStyle name="표준 3 5 2 6" xfId="317" xr:uid="{00000000-0005-0000-0000-00003F010000}"/>
    <cellStyle name="표준 3 5 2 7" xfId="381" xr:uid="{00000000-0005-0000-0000-000040010000}"/>
    <cellStyle name="표준 3 5 3" xfId="78" xr:uid="{00000000-0005-0000-0000-000041010000}"/>
    <cellStyle name="표준 3 5 3 2" xfId="142" xr:uid="{00000000-0005-0000-0000-000042010000}"/>
    <cellStyle name="표준 3 5 3 3" xfId="270" xr:uid="{00000000-0005-0000-0000-000043010000}"/>
    <cellStyle name="표준 3 5 3 4" xfId="206" xr:uid="{00000000-0005-0000-0000-000044010000}"/>
    <cellStyle name="표준 3 5 3 5" xfId="334" xr:uid="{00000000-0005-0000-0000-000045010000}"/>
    <cellStyle name="표준 3 5 3 6" xfId="398" xr:uid="{00000000-0005-0000-0000-000046010000}"/>
    <cellStyle name="표준 3 5 4" xfId="110" xr:uid="{00000000-0005-0000-0000-000047010000}"/>
    <cellStyle name="표준 3 5 5" xfId="238" xr:uid="{00000000-0005-0000-0000-000048010000}"/>
    <cellStyle name="표준 3 5 6" xfId="174" xr:uid="{00000000-0005-0000-0000-000049010000}"/>
    <cellStyle name="표준 3 5 7" xfId="302" xr:uid="{00000000-0005-0000-0000-00004A010000}"/>
    <cellStyle name="표준 3 5 8" xfId="366" xr:uid="{00000000-0005-0000-0000-00004B010000}"/>
    <cellStyle name="표준 3 6" xfId="28" xr:uid="{00000000-0005-0000-0000-00004C010000}"/>
    <cellStyle name="표준 3 6 2" xfId="49" xr:uid="{00000000-0005-0000-0000-00004D010000}"/>
    <cellStyle name="표준 3 6 2 2" xfId="95" xr:uid="{00000000-0005-0000-0000-00004E010000}"/>
    <cellStyle name="표준 3 6 2 2 2" xfId="159" xr:uid="{00000000-0005-0000-0000-00004F010000}"/>
    <cellStyle name="표준 3 6 2 2 3" xfId="287" xr:uid="{00000000-0005-0000-0000-000050010000}"/>
    <cellStyle name="표준 3 6 2 2 4" xfId="223" xr:uid="{00000000-0005-0000-0000-000051010000}"/>
    <cellStyle name="표준 3 6 2 2 5" xfId="351" xr:uid="{00000000-0005-0000-0000-000052010000}"/>
    <cellStyle name="표준 3 6 2 2 6" xfId="415" xr:uid="{00000000-0005-0000-0000-000053010000}"/>
    <cellStyle name="표준 3 6 2 3" xfId="127" xr:uid="{00000000-0005-0000-0000-000054010000}"/>
    <cellStyle name="표준 3 6 2 4" xfId="255" xr:uid="{00000000-0005-0000-0000-000055010000}"/>
    <cellStyle name="표준 3 6 2 5" xfId="191" xr:uid="{00000000-0005-0000-0000-000056010000}"/>
    <cellStyle name="표준 3 6 2 6" xfId="319" xr:uid="{00000000-0005-0000-0000-000057010000}"/>
    <cellStyle name="표준 3 6 2 7" xfId="383" xr:uid="{00000000-0005-0000-0000-000058010000}"/>
    <cellStyle name="표준 3 6 3" xfId="80" xr:uid="{00000000-0005-0000-0000-000059010000}"/>
    <cellStyle name="표준 3 6 3 2" xfId="144" xr:uid="{00000000-0005-0000-0000-00005A010000}"/>
    <cellStyle name="표준 3 6 3 3" xfId="272" xr:uid="{00000000-0005-0000-0000-00005B010000}"/>
    <cellStyle name="표준 3 6 3 4" xfId="208" xr:uid="{00000000-0005-0000-0000-00005C010000}"/>
    <cellStyle name="표준 3 6 3 5" xfId="336" xr:uid="{00000000-0005-0000-0000-00005D010000}"/>
    <cellStyle name="표준 3 6 3 6" xfId="400" xr:uid="{00000000-0005-0000-0000-00005E010000}"/>
    <cellStyle name="표준 3 6 4" xfId="112" xr:uid="{00000000-0005-0000-0000-00005F010000}"/>
    <cellStyle name="표준 3 6 5" xfId="240" xr:uid="{00000000-0005-0000-0000-000060010000}"/>
    <cellStyle name="표준 3 6 6" xfId="176" xr:uid="{00000000-0005-0000-0000-000061010000}"/>
    <cellStyle name="표준 3 6 7" xfId="304" xr:uid="{00000000-0005-0000-0000-000062010000}"/>
    <cellStyle name="표준 3 6 8" xfId="368" xr:uid="{00000000-0005-0000-0000-000063010000}"/>
    <cellStyle name="표준 3 7" xfId="41" xr:uid="{00000000-0005-0000-0000-000064010000}"/>
    <cellStyle name="표준 3 7 2" xfId="87" xr:uid="{00000000-0005-0000-0000-000065010000}"/>
    <cellStyle name="표준 3 7 2 2" xfId="151" xr:uid="{00000000-0005-0000-0000-000066010000}"/>
    <cellStyle name="표준 3 7 2 3" xfId="279" xr:uid="{00000000-0005-0000-0000-000067010000}"/>
    <cellStyle name="표준 3 7 2 4" xfId="215" xr:uid="{00000000-0005-0000-0000-000068010000}"/>
    <cellStyle name="표준 3 7 2 5" xfId="343" xr:uid="{00000000-0005-0000-0000-000069010000}"/>
    <cellStyle name="표준 3 7 2 6" xfId="407" xr:uid="{00000000-0005-0000-0000-00006A010000}"/>
    <cellStyle name="표준 3 7 3" xfId="119" xr:uid="{00000000-0005-0000-0000-00006B010000}"/>
    <cellStyle name="표준 3 7 4" xfId="247" xr:uid="{00000000-0005-0000-0000-00006C010000}"/>
    <cellStyle name="표준 3 7 5" xfId="183" xr:uid="{00000000-0005-0000-0000-00006D010000}"/>
    <cellStyle name="표준 3 7 6" xfId="311" xr:uid="{00000000-0005-0000-0000-00006E010000}"/>
    <cellStyle name="표준 3 7 7" xfId="375" xr:uid="{00000000-0005-0000-0000-00006F010000}"/>
    <cellStyle name="표준 3 8" xfId="37" xr:uid="{00000000-0005-0000-0000-000070010000}"/>
    <cellStyle name="표준 3 8 2" xfId="72" xr:uid="{00000000-0005-0000-0000-000071010000}"/>
    <cellStyle name="표준 3 8 2 2" xfId="136" xr:uid="{00000000-0005-0000-0000-000072010000}"/>
    <cellStyle name="표준 3 8 2 3" xfId="264" xr:uid="{00000000-0005-0000-0000-000073010000}"/>
    <cellStyle name="표준 3 8 2 4" xfId="200" xr:uid="{00000000-0005-0000-0000-000074010000}"/>
    <cellStyle name="표준 3 8 2 5" xfId="328" xr:uid="{00000000-0005-0000-0000-000075010000}"/>
    <cellStyle name="표준 3 8 2 6" xfId="392" xr:uid="{00000000-0005-0000-0000-000076010000}"/>
    <cellStyle name="표준 3 8 3" xfId="104" xr:uid="{00000000-0005-0000-0000-000077010000}"/>
    <cellStyle name="표준 3 8 4" xfId="232" xr:uid="{00000000-0005-0000-0000-000078010000}"/>
    <cellStyle name="표준 3 8 5" xfId="168" xr:uid="{00000000-0005-0000-0000-000079010000}"/>
    <cellStyle name="표준 3 8 6" xfId="296" xr:uid="{00000000-0005-0000-0000-00007A010000}"/>
    <cellStyle name="표준 3 8 7" xfId="360" xr:uid="{00000000-0005-0000-0000-00007B010000}"/>
    <cellStyle name="표준 3 9" xfId="64" xr:uid="{00000000-0005-0000-0000-00007C010000}"/>
    <cellStyle name="표준 4" xfId="21" xr:uid="{00000000-0005-0000-0000-00007D010000}"/>
    <cellStyle name="표준 4 2" xfId="65" xr:uid="{00000000-0005-0000-0000-00007E010000}"/>
    <cellStyle name="표준 5" xfId="1" xr:uid="{00000000-0005-0000-0000-00007F010000}"/>
    <cellStyle name="표준 5 2" xfId="66" xr:uid="{00000000-0005-0000-0000-000080010000}"/>
    <cellStyle name="표준 6" xfId="27" xr:uid="{00000000-0005-0000-0000-000081010000}"/>
    <cellStyle name="표준 6 2" xfId="48" xr:uid="{00000000-0005-0000-0000-000082010000}"/>
    <cellStyle name="표준 6 2 2" xfId="94" xr:uid="{00000000-0005-0000-0000-000083010000}"/>
    <cellStyle name="표준 6 2 2 2" xfId="158" xr:uid="{00000000-0005-0000-0000-000084010000}"/>
    <cellStyle name="표준 6 2 2 3" xfId="286" xr:uid="{00000000-0005-0000-0000-000085010000}"/>
    <cellStyle name="표준 6 2 2 4" xfId="222" xr:uid="{00000000-0005-0000-0000-000086010000}"/>
    <cellStyle name="표준 6 2 2 5" xfId="350" xr:uid="{00000000-0005-0000-0000-000087010000}"/>
    <cellStyle name="표준 6 2 2 6" xfId="414" xr:uid="{00000000-0005-0000-0000-000088010000}"/>
    <cellStyle name="표준 6 2 3" xfId="126" xr:uid="{00000000-0005-0000-0000-000089010000}"/>
    <cellStyle name="표준 6 2 4" xfId="254" xr:uid="{00000000-0005-0000-0000-00008A010000}"/>
    <cellStyle name="표준 6 2 5" xfId="190" xr:uid="{00000000-0005-0000-0000-00008B010000}"/>
    <cellStyle name="표준 6 2 6" xfId="318" xr:uid="{00000000-0005-0000-0000-00008C010000}"/>
    <cellStyle name="표준 6 2 7" xfId="382" xr:uid="{00000000-0005-0000-0000-00008D010000}"/>
    <cellStyle name="표준 6 3" xfId="67" xr:uid="{00000000-0005-0000-0000-00008E010000}"/>
    <cellStyle name="표준 6 4" xfId="79" xr:uid="{00000000-0005-0000-0000-00008F010000}"/>
    <cellStyle name="표준 6 4 2" xfId="143" xr:uid="{00000000-0005-0000-0000-000090010000}"/>
    <cellStyle name="표준 6 4 3" xfId="271" xr:uid="{00000000-0005-0000-0000-000091010000}"/>
    <cellStyle name="표준 6 4 4" xfId="207" xr:uid="{00000000-0005-0000-0000-000092010000}"/>
    <cellStyle name="표준 6 4 5" xfId="335" xr:uid="{00000000-0005-0000-0000-000093010000}"/>
    <cellStyle name="표준 6 4 6" xfId="399" xr:uid="{00000000-0005-0000-0000-000094010000}"/>
    <cellStyle name="표준 6 5" xfId="111" xr:uid="{00000000-0005-0000-0000-000095010000}"/>
    <cellStyle name="표준 6 6" xfId="239" xr:uid="{00000000-0005-0000-0000-000096010000}"/>
    <cellStyle name="표준 6 7" xfId="175" xr:uid="{00000000-0005-0000-0000-000097010000}"/>
    <cellStyle name="표준 6 8" xfId="303" xr:uid="{00000000-0005-0000-0000-000098010000}"/>
    <cellStyle name="표준 6 9" xfId="367" xr:uid="{00000000-0005-0000-0000-000099010000}"/>
    <cellStyle name="표준 7" xfId="40" xr:uid="{00000000-0005-0000-0000-00009A010000}"/>
    <cellStyle name="표준 7 2" xfId="68" xr:uid="{00000000-0005-0000-0000-00009B010000}"/>
    <cellStyle name="표준 7 3" xfId="86" xr:uid="{00000000-0005-0000-0000-00009C010000}"/>
    <cellStyle name="표준 7 3 2" xfId="150" xr:uid="{00000000-0005-0000-0000-00009D010000}"/>
    <cellStyle name="표준 7 3 3" xfId="278" xr:uid="{00000000-0005-0000-0000-00009E010000}"/>
    <cellStyle name="표준 7 3 4" xfId="214" xr:uid="{00000000-0005-0000-0000-00009F010000}"/>
    <cellStyle name="표준 7 3 5" xfId="342" xr:uid="{00000000-0005-0000-0000-0000A0010000}"/>
    <cellStyle name="표준 7 3 6" xfId="406" xr:uid="{00000000-0005-0000-0000-0000A1010000}"/>
    <cellStyle name="표준 7 4" xfId="118" xr:uid="{00000000-0005-0000-0000-0000A2010000}"/>
    <cellStyle name="표준 7 5" xfId="246" xr:uid="{00000000-0005-0000-0000-0000A3010000}"/>
    <cellStyle name="표준 7 6" xfId="182" xr:uid="{00000000-0005-0000-0000-0000A4010000}"/>
    <cellStyle name="표준 7 7" xfId="310" xr:uid="{00000000-0005-0000-0000-0000A5010000}"/>
    <cellStyle name="표준 7 8" xfId="374" xr:uid="{00000000-0005-0000-0000-0000A6010000}"/>
    <cellStyle name="표준 8" xfId="69" xr:uid="{00000000-0005-0000-0000-0000A7010000}"/>
    <cellStyle name="표준 9" xfId="56" xr:uid="{00000000-0005-0000-0000-0000A8010000}"/>
  </cellStyles>
  <dxfs count="0"/>
  <tableStyles count="0" defaultTableStyle="TableStyleMedium2" defaultPivotStyle="PivotStyleLight16"/>
  <colors>
    <mruColors>
      <color rgb="FFDFE4A4"/>
      <color rgb="FFFFFF99"/>
      <color rgb="FF0000FF"/>
      <color rgb="FF0000CC"/>
      <color rgb="FFA5FBB5"/>
      <color rgb="FF99FF99"/>
      <color rgb="FFCCFF99"/>
      <color rgb="FF0000B4"/>
      <color rgb="FF01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9"/>
  <sheetViews>
    <sheetView showGridLines="0" tabSelected="1" topLeftCell="A4" workbookViewId="0">
      <selection activeCell="R15" sqref="R15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1" t="s">
        <v>56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4" t="s">
        <v>45</v>
      </c>
      <c r="P5" s="264"/>
      <c r="Q5" s="264"/>
    </row>
    <row r="6" spans="2:17" ht="21" customHeight="1">
      <c r="B6" s="265" t="s">
        <v>46</v>
      </c>
      <c r="C6" s="266"/>
      <c r="D6" s="266"/>
      <c r="E6" s="269" t="s">
        <v>55</v>
      </c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1"/>
    </row>
    <row r="7" spans="2:17" ht="21" customHeight="1" thickBot="1">
      <c r="B7" s="267"/>
      <c r="C7" s="268"/>
      <c r="D7" s="26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2" t="s">
        <v>13</v>
      </c>
      <c r="C8" s="274" t="s">
        <v>14</v>
      </c>
      <c r="D8" s="275"/>
      <c r="E8" s="144">
        <f>SUM(E9:E10)</f>
        <v>1529</v>
      </c>
      <c r="F8" s="144">
        <f t="shared" ref="F8:P8" si="0">SUM(F9:F10)</f>
        <v>1362</v>
      </c>
      <c r="G8" s="144">
        <f t="shared" si="0"/>
        <v>1693</v>
      </c>
      <c r="H8" s="144">
        <f t="shared" si="0"/>
        <v>1512</v>
      </c>
      <c r="I8" s="144">
        <f t="shared" si="0"/>
        <v>1539</v>
      </c>
      <c r="J8" s="144">
        <f t="shared" si="0"/>
        <v>1565</v>
      </c>
      <c r="K8" s="144">
        <f t="shared" si="0"/>
        <v>1518</v>
      </c>
      <c r="L8" s="144">
        <f t="shared" si="0"/>
        <v>0</v>
      </c>
      <c r="M8" s="144">
        <f t="shared" si="0"/>
        <v>0</v>
      </c>
      <c r="N8" s="144">
        <f t="shared" si="0"/>
        <v>0</v>
      </c>
      <c r="O8" s="144">
        <f t="shared" si="0"/>
        <v>0</v>
      </c>
      <c r="P8" s="144">
        <f t="shared" si="0"/>
        <v>0</v>
      </c>
      <c r="Q8" s="145">
        <f>SUM(Q9:Q10)</f>
        <v>10718</v>
      </c>
    </row>
    <row r="9" spans="2:17" ht="24.95" customHeight="1">
      <c r="B9" s="273"/>
      <c r="C9" s="260" t="s">
        <v>15</v>
      </c>
      <c r="D9" s="260"/>
      <c r="E9" s="222">
        <v>839</v>
      </c>
      <c r="F9" s="224">
        <v>745</v>
      </c>
      <c r="G9" s="237">
        <v>876</v>
      </c>
      <c r="H9" s="239">
        <v>762</v>
      </c>
      <c r="I9" s="121">
        <f>433+432</f>
        <v>865</v>
      </c>
      <c r="J9" s="121">
        <f>416+415</f>
        <v>831</v>
      </c>
      <c r="K9" s="121">
        <f>388+388</f>
        <v>776</v>
      </c>
      <c r="L9" s="121"/>
      <c r="M9" s="205"/>
      <c r="N9" s="205"/>
      <c r="O9" s="205"/>
      <c r="P9" s="205"/>
      <c r="Q9" s="115">
        <f>SUM(E9:P9)</f>
        <v>5694</v>
      </c>
    </row>
    <row r="10" spans="2:17" ht="24.95" customHeight="1" thickBot="1">
      <c r="B10" s="273"/>
      <c r="C10" s="276" t="s">
        <v>16</v>
      </c>
      <c r="D10" s="276"/>
      <c r="E10" s="223">
        <v>690</v>
      </c>
      <c r="F10" s="225">
        <v>617</v>
      </c>
      <c r="G10" s="238">
        <v>817</v>
      </c>
      <c r="H10" s="240">
        <v>750</v>
      </c>
      <c r="I10" s="131">
        <f>337+337</f>
        <v>674</v>
      </c>
      <c r="J10" s="248">
        <f>365+369</f>
        <v>734</v>
      </c>
      <c r="K10" s="248">
        <f>371+371</f>
        <v>742</v>
      </c>
      <c r="L10" s="131"/>
      <c r="M10" s="206"/>
      <c r="N10" s="206"/>
      <c r="O10" s="206"/>
      <c r="P10" s="206"/>
      <c r="Q10" s="134">
        <f>SUM(E10:P10)</f>
        <v>5024</v>
      </c>
    </row>
    <row r="11" spans="2:17" ht="24.95" customHeight="1" thickBot="1">
      <c r="B11" s="255" t="s">
        <v>17</v>
      </c>
      <c r="C11" s="274" t="s">
        <v>12</v>
      </c>
      <c r="D11" s="275"/>
      <c r="E11" s="146">
        <f>E12+E16</f>
        <v>10429399</v>
      </c>
      <c r="F11" s="146">
        <f t="shared" ref="F11:P11" si="1">F12+F16</f>
        <v>8799763</v>
      </c>
      <c r="G11" s="146">
        <f>G12+G16</f>
        <v>10522192</v>
      </c>
      <c r="H11" s="146">
        <f t="shared" si="1"/>
        <v>9377101</v>
      </c>
      <c r="I11" s="146">
        <f t="shared" si="1"/>
        <v>9310650</v>
      </c>
      <c r="J11" s="146">
        <f t="shared" si="1"/>
        <v>9283243</v>
      </c>
      <c r="K11" s="146">
        <f t="shared" si="1"/>
        <v>9344870</v>
      </c>
      <c r="L11" s="146">
        <f t="shared" si="1"/>
        <v>0</v>
      </c>
      <c r="M11" s="146">
        <f t="shared" si="1"/>
        <v>0</v>
      </c>
      <c r="N11" s="146">
        <f t="shared" si="1"/>
        <v>0</v>
      </c>
      <c r="O11" s="146">
        <f t="shared" si="1"/>
        <v>0</v>
      </c>
      <c r="P11" s="146">
        <f t="shared" si="1"/>
        <v>0</v>
      </c>
      <c r="Q11" s="147">
        <f>Q12+Q16</f>
        <v>67067218</v>
      </c>
    </row>
    <row r="12" spans="2:17" ht="24.95" customHeight="1">
      <c r="B12" s="256"/>
      <c r="C12" s="260" t="s">
        <v>15</v>
      </c>
      <c r="D12" s="135" t="s">
        <v>18</v>
      </c>
      <c r="E12" s="136">
        <f>SUM(E13:E15)</f>
        <v>9651672</v>
      </c>
      <c r="F12" s="136">
        <f>SUM(F13:F15)</f>
        <v>8068827</v>
      </c>
      <c r="G12" s="136">
        <f>SUM(G13:G15)</f>
        <v>9563972</v>
      </c>
      <c r="H12" s="136">
        <f>SUM(H13:H15)</f>
        <v>8611803</v>
      </c>
      <c r="I12" s="136">
        <f>SUM(I13:I15)</f>
        <v>8520517</v>
      </c>
      <c r="J12" s="136">
        <f t="shared" ref="J12:P12" si="2">SUM(J13:J15)</f>
        <v>8565775</v>
      </c>
      <c r="K12" s="136">
        <f>SUM(K13:K15)</f>
        <v>8504057</v>
      </c>
      <c r="L12" s="136">
        <f>SUM(L13:L15)</f>
        <v>0</v>
      </c>
      <c r="M12" s="136">
        <f>SUM(M13:M15)</f>
        <v>0</v>
      </c>
      <c r="N12" s="136">
        <f>SUM(N13:N15)</f>
        <v>0</v>
      </c>
      <c r="O12" s="136">
        <f t="shared" si="2"/>
        <v>0</v>
      </c>
      <c r="P12" s="136">
        <f t="shared" si="2"/>
        <v>0</v>
      </c>
      <c r="Q12" s="136">
        <f>SUM(Q13:Q15)</f>
        <v>61486623</v>
      </c>
    </row>
    <row r="13" spans="2:17" ht="24.95" customHeight="1">
      <c r="B13" s="256"/>
      <c r="C13" s="280"/>
      <c r="D13" s="204" t="s">
        <v>19</v>
      </c>
      <c r="E13" s="221">
        <v>7846157</v>
      </c>
      <c r="F13" s="226">
        <v>6560792</v>
      </c>
      <c r="G13" s="235">
        <v>7660200</v>
      </c>
      <c r="H13" s="241">
        <v>6985031</v>
      </c>
      <c r="I13" s="246">
        <v>6821553</v>
      </c>
      <c r="J13" s="246">
        <v>6624832</v>
      </c>
      <c r="K13" s="246">
        <v>6617903</v>
      </c>
      <c r="L13" s="212"/>
      <c r="M13" s="213"/>
      <c r="N13" s="213"/>
      <c r="O13" s="213"/>
      <c r="P13" s="213"/>
      <c r="Q13" s="136">
        <f>SUM(E13:P13)</f>
        <v>49116468</v>
      </c>
    </row>
    <row r="14" spans="2:17" ht="24.95" customHeight="1">
      <c r="B14" s="256"/>
      <c r="C14" s="280"/>
      <c r="D14" s="204" t="s">
        <v>20</v>
      </c>
      <c r="E14" s="221">
        <v>1612063</v>
      </c>
      <c r="F14" s="226">
        <v>1318939</v>
      </c>
      <c r="G14" s="235">
        <v>1713285</v>
      </c>
      <c r="H14" s="241">
        <v>1454328</v>
      </c>
      <c r="I14" s="246">
        <v>1465971</v>
      </c>
      <c r="J14" s="246">
        <v>1733428</v>
      </c>
      <c r="K14" s="246">
        <v>1701215</v>
      </c>
      <c r="L14" s="212"/>
      <c r="M14" s="213"/>
      <c r="N14" s="213"/>
      <c r="O14" s="213"/>
      <c r="P14" s="213"/>
      <c r="Q14" s="136">
        <f>SUM(E14:P14)</f>
        <v>10999229</v>
      </c>
    </row>
    <row r="15" spans="2:17" ht="24.95" customHeight="1">
      <c r="B15" s="256"/>
      <c r="C15" s="280"/>
      <c r="D15" s="204" t="s">
        <v>21</v>
      </c>
      <c r="E15" s="221">
        <v>193452</v>
      </c>
      <c r="F15" s="226">
        <v>189096</v>
      </c>
      <c r="G15" s="235">
        <v>190487</v>
      </c>
      <c r="H15" s="241">
        <v>172444</v>
      </c>
      <c r="I15" s="246">
        <f>140386+92607</f>
        <v>232993</v>
      </c>
      <c r="J15" s="246">
        <f>105165+102350</f>
        <v>207515</v>
      </c>
      <c r="K15" s="246">
        <f>110515+74424</f>
        <v>184939</v>
      </c>
      <c r="L15" s="212"/>
      <c r="M15" s="213"/>
      <c r="N15" s="213"/>
      <c r="O15" s="213"/>
      <c r="P15" s="213"/>
      <c r="Q15" s="136">
        <f t="shared" ref="Q15" si="3">SUM(E15:P15)</f>
        <v>1370926</v>
      </c>
    </row>
    <row r="16" spans="2:17" ht="24.95" customHeight="1">
      <c r="B16" s="256"/>
      <c r="C16" s="280" t="s">
        <v>22</v>
      </c>
      <c r="D16" s="120" t="s">
        <v>18</v>
      </c>
      <c r="E16" s="113">
        <f>SUM(E17:E19)</f>
        <v>777727</v>
      </c>
      <c r="F16" s="113">
        <f t="shared" ref="F16:P16" si="4">SUM(F17:F19)</f>
        <v>730936</v>
      </c>
      <c r="G16" s="113">
        <f t="shared" si="4"/>
        <v>958220</v>
      </c>
      <c r="H16" s="113">
        <f t="shared" si="4"/>
        <v>765298</v>
      </c>
      <c r="I16" s="113">
        <f t="shared" si="4"/>
        <v>790133</v>
      </c>
      <c r="J16" s="113">
        <f t="shared" si="4"/>
        <v>717468</v>
      </c>
      <c r="K16" s="113">
        <f t="shared" si="4"/>
        <v>840813</v>
      </c>
      <c r="L16" s="113">
        <f t="shared" si="4"/>
        <v>0</v>
      </c>
      <c r="M16" s="113">
        <f t="shared" si="4"/>
        <v>0</v>
      </c>
      <c r="N16" s="113">
        <f t="shared" si="4"/>
        <v>0</v>
      </c>
      <c r="O16" s="113">
        <f t="shared" si="4"/>
        <v>0</v>
      </c>
      <c r="P16" s="113">
        <f t="shared" si="4"/>
        <v>0</v>
      </c>
      <c r="Q16" s="136">
        <f>SUM(Q17:Q19)</f>
        <v>5580595</v>
      </c>
    </row>
    <row r="17" spans="2:17" ht="24.95" customHeight="1">
      <c r="B17" s="256"/>
      <c r="C17" s="280"/>
      <c r="D17" s="204" t="s">
        <v>27</v>
      </c>
      <c r="E17" s="220">
        <v>550272</v>
      </c>
      <c r="F17" s="227">
        <v>482291</v>
      </c>
      <c r="G17" s="236">
        <v>669018</v>
      </c>
      <c r="H17" s="242">
        <v>543659</v>
      </c>
      <c r="I17" s="246">
        <v>567083</v>
      </c>
      <c r="J17" s="246">
        <v>503179</v>
      </c>
      <c r="K17" s="246">
        <v>608659</v>
      </c>
      <c r="L17" s="193"/>
      <c r="M17" s="213"/>
      <c r="N17" s="213"/>
      <c r="O17" s="213"/>
      <c r="P17" s="213"/>
      <c r="Q17" s="136">
        <f t="shared" ref="Q17:Q18" si="5">SUM(E17:P17)</f>
        <v>3924161</v>
      </c>
    </row>
    <row r="18" spans="2:17" ht="24.95" customHeight="1">
      <c r="B18" s="256"/>
      <c r="C18" s="280"/>
      <c r="D18" s="204" t="s">
        <v>28</v>
      </c>
      <c r="E18" s="220">
        <v>227455</v>
      </c>
      <c r="F18" s="227">
        <v>248645</v>
      </c>
      <c r="G18" s="236">
        <v>289202</v>
      </c>
      <c r="H18" s="242">
        <v>221639</v>
      </c>
      <c r="I18" s="246">
        <v>223050</v>
      </c>
      <c r="J18" s="246">
        <v>214289</v>
      </c>
      <c r="K18" s="246">
        <v>232154</v>
      </c>
      <c r="L18" s="193"/>
      <c r="M18" s="213"/>
      <c r="N18" s="213"/>
      <c r="O18" s="213"/>
      <c r="P18" s="213"/>
      <c r="Q18" s="136">
        <f t="shared" si="5"/>
        <v>1656434</v>
      </c>
    </row>
    <row r="19" spans="2:17" ht="24.95" customHeight="1">
      <c r="B19" s="256"/>
      <c r="C19" s="280"/>
      <c r="D19" s="20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2" t="s">
        <v>26</v>
      </c>
      <c r="P20" s="253"/>
      <c r="Q20" s="254"/>
    </row>
    <row r="21" spans="2:17" ht="24.95" customHeight="1" thickBot="1">
      <c r="B21" s="255" t="s">
        <v>23</v>
      </c>
      <c r="C21" s="257" t="s">
        <v>12</v>
      </c>
      <c r="D21" s="258"/>
      <c r="E21" s="144">
        <f t="shared" ref="E21:N21" si="6">SUM(E22:E24)</f>
        <v>83028</v>
      </c>
      <c r="F21" s="144">
        <f t="shared" si="6"/>
        <v>64561</v>
      </c>
      <c r="G21" s="144">
        <f t="shared" si="6"/>
        <v>90205</v>
      </c>
      <c r="H21" s="144">
        <f>SUM(H22:H24)</f>
        <v>90804</v>
      </c>
      <c r="I21" s="144">
        <f t="shared" si="6"/>
        <v>89251</v>
      </c>
      <c r="J21" s="144">
        <f t="shared" si="6"/>
        <v>92598</v>
      </c>
      <c r="K21" s="144">
        <f t="shared" si="6"/>
        <v>90417</v>
      </c>
      <c r="L21" s="144">
        <f>SUM(L22:L24)</f>
        <v>0</v>
      </c>
      <c r="M21" s="144">
        <f>SUM(M22:M24)</f>
        <v>0</v>
      </c>
      <c r="N21" s="144">
        <f t="shared" si="6"/>
        <v>0</v>
      </c>
      <c r="O21" s="144">
        <f>SUM(O22:O24)</f>
        <v>0</v>
      </c>
      <c r="P21" s="144">
        <f>SUM(P22:P24)</f>
        <v>0</v>
      </c>
      <c r="Q21" s="145">
        <f>SUM(Q22:Q24)</f>
        <v>600864</v>
      </c>
    </row>
    <row r="22" spans="2:17" ht="24.95" customHeight="1">
      <c r="B22" s="256"/>
      <c r="C22" s="259" t="s">
        <v>15</v>
      </c>
      <c r="D22" s="203" t="s">
        <v>19</v>
      </c>
      <c r="E22" s="217">
        <v>39734</v>
      </c>
      <c r="F22" s="229">
        <v>32668</v>
      </c>
      <c r="G22" s="232">
        <v>42541</v>
      </c>
      <c r="H22" s="243">
        <v>44373</v>
      </c>
      <c r="I22" s="243">
        <v>44948</v>
      </c>
      <c r="J22" s="249">
        <v>44534</v>
      </c>
      <c r="K22" s="249">
        <v>42353</v>
      </c>
      <c r="L22" s="214"/>
      <c r="M22" s="214"/>
      <c r="N22" s="214"/>
      <c r="O22" s="214"/>
      <c r="P22" s="214"/>
      <c r="Q22" s="115">
        <f>SUM(E22:P22)</f>
        <v>291151</v>
      </c>
    </row>
    <row r="23" spans="2:17" ht="24.95" customHeight="1">
      <c r="B23" s="256"/>
      <c r="C23" s="259"/>
      <c r="D23" s="204" t="s">
        <v>20</v>
      </c>
      <c r="E23" s="218">
        <v>42507</v>
      </c>
      <c r="F23" s="230">
        <v>31258</v>
      </c>
      <c r="G23" s="233">
        <v>46775</v>
      </c>
      <c r="H23" s="244">
        <v>45409</v>
      </c>
      <c r="I23" s="244">
        <v>43054</v>
      </c>
      <c r="J23" s="250">
        <v>46461</v>
      </c>
      <c r="K23" s="250">
        <v>46986</v>
      </c>
      <c r="L23" s="215"/>
      <c r="M23" s="215"/>
      <c r="N23" s="215"/>
      <c r="O23" s="215"/>
      <c r="P23" s="215"/>
      <c r="Q23" s="118">
        <f>SUM(E23:P23)</f>
        <v>302450</v>
      </c>
    </row>
    <row r="24" spans="2:17" ht="24.95" customHeight="1" thickBot="1">
      <c r="B24" s="256"/>
      <c r="C24" s="260"/>
      <c r="D24" s="204" t="s">
        <v>21</v>
      </c>
      <c r="E24" s="219">
        <v>787</v>
      </c>
      <c r="F24" s="231">
        <v>635</v>
      </c>
      <c r="G24" s="234">
        <v>889</v>
      </c>
      <c r="H24" s="245">
        <v>1022</v>
      </c>
      <c r="I24" s="245">
        <v>1249</v>
      </c>
      <c r="J24" s="251">
        <v>1603</v>
      </c>
      <c r="K24" s="251">
        <v>1078</v>
      </c>
      <c r="L24" s="216"/>
      <c r="M24" s="216"/>
      <c r="N24" s="216"/>
      <c r="O24" s="216"/>
      <c r="P24" s="216"/>
      <c r="Q24" s="134">
        <f>SUM(E24:P24)</f>
        <v>7263</v>
      </c>
    </row>
    <row r="25" spans="2:17" ht="24.95" customHeight="1" thickBot="1">
      <c r="B25" s="277" t="s">
        <v>29</v>
      </c>
      <c r="C25" s="278"/>
      <c r="D25" s="279"/>
      <c r="E25" s="180">
        <v>137317</v>
      </c>
      <c r="F25" s="228">
        <v>112286</v>
      </c>
      <c r="G25" s="144">
        <v>149720</v>
      </c>
      <c r="H25" s="144">
        <v>139047</v>
      </c>
      <c r="I25" s="247">
        <v>144741</v>
      </c>
      <c r="J25" s="144">
        <v>154780</v>
      </c>
      <c r="K25" s="247">
        <v>160498</v>
      </c>
      <c r="L25" s="144"/>
      <c r="M25" s="182"/>
      <c r="N25" s="144"/>
      <c r="O25" s="144"/>
      <c r="P25" s="211"/>
      <c r="Q25" s="194">
        <f>SUM(E25:P25)</f>
        <v>998389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29"/>
  <sheetViews>
    <sheetView showGridLines="0" workbookViewId="0">
      <selection activeCell="O16" sqref="O16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1" t="s">
        <v>53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4" t="s">
        <v>45</v>
      </c>
      <c r="P5" s="264"/>
      <c r="Q5" s="264"/>
    </row>
    <row r="6" spans="2:17" ht="21" customHeight="1">
      <c r="B6" s="265" t="s">
        <v>46</v>
      </c>
      <c r="C6" s="266"/>
      <c r="D6" s="266"/>
      <c r="E6" s="269" t="s">
        <v>54</v>
      </c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1"/>
    </row>
    <row r="7" spans="2:17" ht="21" customHeight="1" thickBot="1">
      <c r="B7" s="267"/>
      <c r="C7" s="268"/>
      <c r="D7" s="26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2" t="s">
        <v>13</v>
      </c>
      <c r="C8" s="274" t="s">
        <v>14</v>
      </c>
      <c r="D8" s="275"/>
      <c r="E8" s="144">
        <f>SUM(E9:E10)</f>
        <v>1440</v>
      </c>
      <c r="F8" s="144">
        <f t="shared" ref="F8:P8" si="0">SUM(F9:F10)</f>
        <v>1440</v>
      </c>
      <c r="G8" s="144">
        <f t="shared" si="0"/>
        <v>1632</v>
      </c>
      <c r="H8" s="144">
        <f t="shared" si="0"/>
        <v>1749</v>
      </c>
      <c r="I8" s="144">
        <f t="shared" si="0"/>
        <v>1748</v>
      </c>
      <c r="J8" s="144">
        <f t="shared" si="0"/>
        <v>1710</v>
      </c>
      <c r="K8" s="144">
        <f t="shared" si="0"/>
        <v>1662</v>
      </c>
      <c r="L8" s="144">
        <f t="shared" si="0"/>
        <v>1615</v>
      </c>
      <c r="M8" s="144">
        <f t="shared" si="0"/>
        <v>1574</v>
      </c>
      <c r="N8" s="144">
        <f t="shared" si="0"/>
        <v>1601</v>
      </c>
      <c r="O8" s="144">
        <f t="shared" si="0"/>
        <v>1595</v>
      </c>
      <c r="P8" s="144">
        <f t="shared" si="0"/>
        <v>1808</v>
      </c>
      <c r="Q8" s="145">
        <f>SUM(Q9:Q10)</f>
        <v>19574</v>
      </c>
    </row>
    <row r="9" spans="2:17" ht="24.95" customHeight="1">
      <c r="B9" s="273"/>
      <c r="C9" s="260" t="s">
        <v>15</v>
      </c>
      <c r="D9" s="260"/>
      <c r="E9" s="168">
        <f>401+396</f>
        <v>797</v>
      </c>
      <c r="F9" s="168">
        <v>833</v>
      </c>
      <c r="G9" s="121">
        <v>872</v>
      </c>
      <c r="H9" s="116">
        <v>894</v>
      </c>
      <c r="I9" s="185">
        <f>441+452</f>
        <v>893</v>
      </c>
      <c r="J9" s="168">
        <f>428+421</f>
        <v>849</v>
      </c>
      <c r="K9" s="190">
        <f>426+439</f>
        <v>865</v>
      </c>
      <c r="L9" s="121">
        <v>852</v>
      </c>
      <c r="M9" s="195">
        <f>404+395</f>
        <v>799</v>
      </c>
      <c r="N9" s="168">
        <f>376+375</f>
        <v>751</v>
      </c>
      <c r="O9" s="200">
        <v>806</v>
      </c>
      <c r="P9" s="205">
        <v>865</v>
      </c>
      <c r="Q9" s="115">
        <f>SUM(E9:P9)</f>
        <v>10076</v>
      </c>
    </row>
    <row r="10" spans="2:17" ht="24.95" customHeight="1" thickBot="1">
      <c r="B10" s="273"/>
      <c r="C10" s="276" t="s">
        <v>16</v>
      </c>
      <c r="D10" s="276"/>
      <c r="E10" s="169">
        <f>322+321</f>
        <v>643</v>
      </c>
      <c r="F10" s="169">
        <f>308+299</f>
        <v>607</v>
      </c>
      <c r="G10" s="131">
        <f>378+382</f>
        <v>760</v>
      </c>
      <c r="H10" s="132">
        <f>429+426</f>
        <v>855</v>
      </c>
      <c r="I10" s="186">
        <f>426+429</f>
        <v>855</v>
      </c>
      <c r="J10" s="169">
        <f>434+427</f>
        <v>861</v>
      </c>
      <c r="K10" s="191">
        <f>399+398</f>
        <v>797</v>
      </c>
      <c r="L10" s="131">
        <f>381+382</f>
        <v>763</v>
      </c>
      <c r="M10" s="196">
        <f>387+388</f>
        <v>775</v>
      </c>
      <c r="N10" s="169">
        <f>430+420</f>
        <v>850</v>
      </c>
      <c r="O10" s="201">
        <f>392+397</f>
        <v>789</v>
      </c>
      <c r="P10" s="206">
        <v>943</v>
      </c>
      <c r="Q10" s="134">
        <f>SUM(E10:P10)</f>
        <v>9498</v>
      </c>
    </row>
    <row r="11" spans="2:17" ht="24.95" customHeight="1" thickBot="1">
      <c r="B11" s="255" t="s">
        <v>17</v>
      </c>
      <c r="C11" s="274" t="s">
        <v>12</v>
      </c>
      <c r="D11" s="275"/>
      <c r="E11" s="146">
        <f>E12+E16</f>
        <v>9785641</v>
      </c>
      <c r="F11" s="146">
        <f t="shared" ref="F11:P11" si="1">F12+F16</f>
        <v>8230782</v>
      </c>
      <c r="G11" s="146">
        <f>G12+G16</f>
        <v>10296352</v>
      </c>
      <c r="H11" s="146">
        <f t="shared" si="1"/>
        <v>10101658</v>
      </c>
      <c r="I11" s="146">
        <f t="shared" si="1"/>
        <v>9671193</v>
      </c>
      <c r="J11" s="146">
        <f t="shared" si="1"/>
        <v>8971807</v>
      </c>
      <c r="K11" s="146">
        <f t="shared" si="1"/>
        <v>9100589</v>
      </c>
      <c r="L11" s="146">
        <f t="shared" si="1"/>
        <v>10293010</v>
      </c>
      <c r="M11" s="146">
        <f t="shared" si="1"/>
        <v>9314470</v>
      </c>
      <c r="N11" s="146">
        <f t="shared" si="1"/>
        <v>8769985</v>
      </c>
      <c r="O11" s="146">
        <f t="shared" si="1"/>
        <v>9485083</v>
      </c>
      <c r="P11" s="146">
        <f t="shared" si="1"/>
        <v>10950776</v>
      </c>
      <c r="Q11" s="147">
        <f>Q12+Q16</f>
        <v>114971346</v>
      </c>
    </row>
    <row r="12" spans="2:17" ht="24.95" customHeight="1">
      <c r="B12" s="256"/>
      <c r="C12" s="260" t="s">
        <v>15</v>
      </c>
      <c r="D12" s="135" t="s">
        <v>18</v>
      </c>
      <c r="E12" s="136">
        <f>SUM(E13:E15)</f>
        <v>8906362</v>
      </c>
      <c r="F12" s="136">
        <f>SUM(F13:F15)</f>
        <v>7526132</v>
      </c>
      <c r="G12" s="136">
        <f>SUM(G13:G15)</f>
        <v>9356345</v>
      </c>
      <c r="H12" s="136">
        <f>SUM(H13:H15)</f>
        <v>9230874</v>
      </c>
      <c r="I12" s="136">
        <f>SUM(I13:I15)</f>
        <v>8707564</v>
      </c>
      <c r="J12" s="136">
        <f t="shared" ref="J12:P12" si="2">SUM(J13:J15)</f>
        <v>8114897</v>
      </c>
      <c r="K12" s="136">
        <f>SUM(K13:K15)</f>
        <v>8233857</v>
      </c>
      <c r="L12" s="136">
        <f>SUM(L13:L15)</f>
        <v>9476054</v>
      </c>
      <c r="M12" s="136">
        <f>SUM(M13:M15)</f>
        <v>8555777</v>
      </c>
      <c r="N12" s="136">
        <f>SUM(N13:N15)</f>
        <v>7980378</v>
      </c>
      <c r="O12" s="136">
        <f t="shared" si="2"/>
        <v>8687684</v>
      </c>
      <c r="P12" s="136">
        <f t="shared" si="2"/>
        <v>10123002</v>
      </c>
      <c r="Q12" s="136">
        <f>SUM(Q13:Q15)</f>
        <v>104898926</v>
      </c>
    </row>
    <row r="13" spans="2:17" ht="24.95" customHeight="1">
      <c r="B13" s="256"/>
      <c r="C13" s="280"/>
      <c r="D13" s="184" t="s">
        <v>19</v>
      </c>
      <c r="E13" s="213">
        <v>7351061</v>
      </c>
      <c r="F13" s="212">
        <v>5873668</v>
      </c>
      <c r="G13" s="212">
        <v>7407124</v>
      </c>
      <c r="H13" s="212">
        <v>7337991</v>
      </c>
      <c r="I13" s="213">
        <v>6830607</v>
      </c>
      <c r="J13" s="212">
        <v>6407764</v>
      </c>
      <c r="K13" s="212">
        <v>6299503</v>
      </c>
      <c r="L13" s="212">
        <v>7789521</v>
      </c>
      <c r="M13" s="213">
        <v>6772389</v>
      </c>
      <c r="N13" s="213">
        <v>6390167</v>
      </c>
      <c r="O13" s="213">
        <v>6917169</v>
      </c>
      <c r="P13" s="213">
        <v>8395932</v>
      </c>
      <c r="Q13" s="136">
        <f>SUM(E13:P13)</f>
        <v>83772896</v>
      </c>
    </row>
    <row r="14" spans="2:17" ht="24.95" customHeight="1">
      <c r="B14" s="256"/>
      <c r="C14" s="280"/>
      <c r="D14" s="184" t="s">
        <v>20</v>
      </c>
      <c r="E14" s="213">
        <v>1424893</v>
      </c>
      <c r="F14" s="212">
        <v>1409756</v>
      </c>
      <c r="G14" s="212">
        <v>1704227</v>
      </c>
      <c r="H14" s="212">
        <v>1685398</v>
      </c>
      <c r="I14" s="213">
        <v>1684023</v>
      </c>
      <c r="J14" s="212">
        <v>1536750</v>
      </c>
      <c r="K14" s="212">
        <v>1704337</v>
      </c>
      <c r="L14" s="212">
        <v>1461643</v>
      </c>
      <c r="M14" s="213">
        <v>1562188</v>
      </c>
      <c r="N14" s="213">
        <v>1371105</v>
      </c>
      <c r="O14" s="213">
        <v>1604150</v>
      </c>
      <c r="P14" s="213">
        <v>1552103</v>
      </c>
      <c r="Q14" s="136">
        <f>SUM(E14:P14)</f>
        <v>18700573</v>
      </c>
    </row>
    <row r="15" spans="2:17" ht="24.95" customHeight="1">
      <c r="B15" s="256"/>
      <c r="C15" s="280"/>
      <c r="D15" s="184" t="s">
        <v>21</v>
      </c>
      <c r="E15" s="171">
        <f>70944
+59464</f>
        <v>130408</v>
      </c>
      <c r="F15" s="156">
        <f>132811
+109897</f>
        <v>242708</v>
      </c>
      <c r="G15" s="156">
        <f>143400
+101594</f>
        <v>244994</v>
      </c>
      <c r="H15" s="156">
        <f>119242+88243</f>
        <v>207485</v>
      </c>
      <c r="I15" s="187">
        <f>103189
+89745</f>
        <v>192934</v>
      </c>
      <c r="J15" s="156">
        <f>96496+73887</f>
        <v>170383</v>
      </c>
      <c r="K15" s="192">
        <f>132013
+98004</f>
        <v>230017</v>
      </c>
      <c r="L15" s="192">
        <f>112757
+112133</f>
        <v>224890</v>
      </c>
      <c r="M15" s="197">
        <f>118878
+102322</f>
        <v>221200</v>
      </c>
      <c r="N15" s="198">
        <f>126153
+92953</f>
        <v>219106</v>
      </c>
      <c r="O15" s="202">
        <f>76838
+89527</f>
        <v>166365</v>
      </c>
      <c r="P15" s="207">
        <v>174967</v>
      </c>
      <c r="Q15" s="136">
        <f t="shared" ref="Q15" si="3">SUM(E15:P15)</f>
        <v>2425457</v>
      </c>
    </row>
    <row r="16" spans="2:17" ht="24.95" customHeight="1">
      <c r="B16" s="256"/>
      <c r="C16" s="280" t="s">
        <v>22</v>
      </c>
      <c r="D16" s="120" t="s">
        <v>18</v>
      </c>
      <c r="E16" s="113">
        <f>SUM(E17:E19)</f>
        <v>879279</v>
      </c>
      <c r="F16" s="113">
        <f t="shared" ref="F16:P16" si="4">SUM(F17:F19)</f>
        <v>704650</v>
      </c>
      <c r="G16" s="113">
        <f t="shared" si="4"/>
        <v>940007</v>
      </c>
      <c r="H16" s="113">
        <f t="shared" si="4"/>
        <v>870784</v>
      </c>
      <c r="I16" s="113">
        <f t="shared" si="4"/>
        <v>963629</v>
      </c>
      <c r="J16" s="113">
        <f t="shared" si="4"/>
        <v>856910</v>
      </c>
      <c r="K16" s="113">
        <f t="shared" si="4"/>
        <v>866732</v>
      </c>
      <c r="L16" s="113">
        <f t="shared" si="4"/>
        <v>816956</v>
      </c>
      <c r="M16" s="113">
        <f t="shared" si="4"/>
        <v>758693</v>
      </c>
      <c r="N16" s="113">
        <f t="shared" si="4"/>
        <v>789607</v>
      </c>
      <c r="O16" s="113">
        <f t="shared" si="4"/>
        <v>797399</v>
      </c>
      <c r="P16" s="113">
        <f t="shared" si="4"/>
        <v>827774</v>
      </c>
      <c r="Q16" s="136">
        <f>SUM(Q17:Q19)</f>
        <v>10072420</v>
      </c>
    </row>
    <row r="17" spans="2:17" ht="24.95" customHeight="1">
      <c r="B17" s="256"/>
      <c r="C17" s="280"/>
      <c r="D17" s="184" t="s">
        <v>27</v>
      </c>
      <c r="E17" s="213">
        <v>619145</v>
      </c>
      <c r="F17" s="193">
        <v>510047</v>
      </c>
      <c r="G17" s="193">
        <v>659870</v>
      </c>
      <c r="H17" s="193">
        <v>627140</v>
      </c>
      <c r="I17" s="188">
        <v>694446</v>
      </c>
      <c r="J17" s="193">
        <v>614079</v>
      </c>
      <c r="K17" s="193">
        <v>624946</v>
      </c>
      <c r="L17" s="193">
        <v>571561</v>
      </c>
      <c r="M17" s="213">
        <v>492407</v>
      </c>
      <c r="N17" s="213">
        <v>576845</v>
      </c>
      <c r="O17" s="213">
        <v>583755</v>
      </c>
      <c r="P17" s="213">
        <v>600612</v>
      </c>
      <c r="Q17" s="136">
        <f t="shared" ref="Q17:Q18" si="5">SUM(E17:P17)</f>
        <v>7174853</v>
      </c>
    </row>
    <row r="18" spans="2:17" ht="24.95" customHeight="1">
      <c r="B18" s="256"/>
      <c r="C18" s="280"/>
      <c r="D18" s="184" t="s">
        <v>28</v>
      </c>
      <c r="E18" s="213">
        <v>260134</v>
      </c>
      <c r="F18" s="193">
        <v>194603</v>
      </c>
      <c r="G18" s="193">
        <v>280137</v>
      </c>
      <c r="H18" s="193">
        <v>243644</v>
      </c>
      <c r="I18" s="189">
        <v>269183</v>
      </c>
      <c r="J18" s="193">
        <v>242831</v>
      </c>
      <c r="K18" s="193">
        <v>241786</v>
      </c>
      <c r="L18" s="193">
        <v>245395</v>
      </c>
      <c r="M18" s="213">
        <v>266286</v>
      </c>
      <c r="N18" s="213">
        <v>212762</v>
      </c>
      <c r="O18" s="213">
        <v>213644</v>
      </c>
      <c r="P18" s="213">
        <v>227162</v>
      </c>
      <c r="Q18" s="136">
        <f t="shared" si="5"/>
        <v>2897567</v>
      </c>
    </row>
    <row r="19" spans="2:17" ht="24.95" customHeight="1">
      <c r="B19" s="256"/>
      <c r="C19" s="280"/>
      <c r="D19" s="18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2" t="s">
        <v>26</v>
      </c>
      <c r="P20" s="253"/>
      <c r="Q20" s="254"/>
    </row>
    <row r="21" spans="2:17" ht="24.95" customHeight="1" thickBot="1">
      <c r="B21" s="255" t="s">
        <v>23</v>
      </c>
      <c r="C21" s="257" t="s">
        <v>12</v>
      </c>
      <c r="D21" s="258"/>
      <c r="E21" s="144">
        <f t="shared" ref="E21:N21" si="6">SUM(E22:E24)</f>
        <v>76073</v>
      </c>
      <c r="F21" s="144">
        <f t="shared" si="6"/>
        <v>59357</v>
      </c>
      <c r="G21" s="144">
        <f t="shared" si="6"/>
        <v>83023</v>
      </c>
      <c r="H21" s="144">
        <f>SUM(H22:H24)</f>
        <v>82385</v>
      </c>
      <c r="I21" s="144">
        <f t="shared" si="6"/>
        <v>77569</v>
      </c>
      <c r="J21" s="144">
        <f t="shared" si="6"/>
        <v>83094</v>
      </c>
      <c r="K21" s="144">
        <f t="shared" si="6"/>
        <v>83268</v>
      </c>
      <c r="L21" s="144">
        <f>SUM(L22:L24)</f>
        <v>76684</v>
      </c>
      <c r="M21" s="144">
        <f>SUM(M22:M24)</f>
        <v>83779</v>
      </c>
      <c r="N21" s="144">
        <f t="shared" si="6"/>
        <v>77543</v>
      </c>
      <c r="O21" s="144">
        <f>SUM(O22:O24)</f>
        <v>84218</v>
      </c>
      <c r="P21" s="144">
        <f>SUM(P22:P24)</f>
        <v>89042</v>
      </c>
      <c r="Q21" s="145">
        <f>SUM(Q22:Q24)</f>
        <v>956035</v>
      </c>
    </row>
    <row r="22" spans="2:17" ht="24.95" customHeight="1">
      <c r="B22" s="256"/>
      <c r="C22" s="259" t="s">
        <v>15</v>
      </c>
      <c r="D22" s="183" t="s">
        <v>19</v>
      </c>
      <c r="E22" s="174">
        <v>39451</v>
      </c>
      <c r="F22" s="175">
        <v>26961</v>
      </c>
      <c r="G22" s="176">
        <v>42271</v>
      </c>
      <c r="H22" s="214">
        <v>40688</v>
      </c>
      <c r="I22" s="214">
        <v>38633</v>
      </c>
      <c r="J22" s="175">
        <v>39972</v>
      </c>
      <c r="K22" s="214">
        <v>40162</v>
      </c>
      <c r="L22" s="214">
        <v>37325</v>
      </c>
      <c r="M22" s="214">
        <v>41976</v>
      </c>
      <c r="N22" s="214">
        <v>38327</v>
      </c>
      <c r="O22" s="214">
        <v>40330</v>
      </c>
      <c r="P22" s="208">
        <v>43369</v>
      </c>
      <c r="Q22" s="115">
        <f>SUM(E22:P22)</f>
        <v>469465</v>
      </c>
    </row>
    <row r="23" spans="2:17" ht="24.95" customHeight="1">
      <c r="B23" s="256"/>
      <c r="C23" s="259"/>
      <c r="D23" s="184" t="s">
        <v>20</v>
      </c>
      <c r="E23" s="174">
        <v>35389</v>
      </c>
      <c r="F23" s="174">
        <v>32014</v>
      </c>
      <c r="G23" s="177">
        <v>38871</v>
      </c>
      <c r="H23" s="215">
        <v>40271</v>
      </c>
      <c r="I23" s="215">
        <v>37837</v>
      </c>
      <c r="J23" s="174">
        <v>42091</v>
      </c>
      <c r="K23" s="215">
        <v>41809</v>
      </c>
      <c r="L23" s="215">
        <v>38067</v>
      </c>
      <c r="M23" s="215">
        <v>40378</v>
      </c>
      <c r="N23" s="215">
        <v>37952</v>
      </c>
      <c r="O23" s="215">
        <v>42378</v>
      </c>
      <c r="P23" s="209">
        <v>44390</v>
      </c>
      <c r="Q23" s="118">
        <f>SUM(E23:P23)</f>
        <v>471447</v>
      </c>
    </row>
    <row r="24" spans="2:17" ht="24.95" customHeight="1" thickBot="1">
      <c r="B24" s="256"/>
      <c r="C24" s="260"/>
      <c r="D24" s="184" t="s">
        <v>21</v>
      </c>
      <c r="E24" s="174">
        <v>1233</v>
      </c>
      <c r="F24" s="178">
        <v>382</v>
      </c>
      <c r="G24" s="179">
        <v>1881</v>
      </c>
      <c r="H24" s="216">
        <v>1426</v>
      </c>
      <c r="I24" s="216">
        <v>1099</v>
      </c>
      <c r="J24" s="178">
        <v>1031</v>
      </c>
      <c r="K24" s="216">
        <v>1297</v>
      </c>
      <c r="L24" s="216">
        <v>1292</v>
      </c>
      <c r="M24" s="216">
        <v>1425</v>
      </c>
      <c r="N24" s="216">
        <v>1264</v>
      </c>
      <c r="O24" s="199">
        <v>1510</v>
      </c>
      <c r="P24" s="210">
        <v>1283</v>
      </c>
      <c r="Q24" s="134">
        <f>SUM(E24:P24)</f>
        <v>15123</v>
      </c>
    </row>
    <row r="25" spans="2:17" ht="24.95" customHeight="1" thickBot="1">
      <c r="B25" s="277" t="s">
        <v>29</v>
      </c>
      <c r="C25" s="278"/>
      <c r="D25" s="279"/>
      <c r="E25" s="180">
        <v>99612</v>
      </c>
      <c r="F25" s="181">
        <v>118713</v>
      </c>
      <c r="G25" s="144">
        <v>141523</v>
      </c>
      <c r="H25" s="144">
        <v>154589</v>
      </c>
      <c r="I25" s="144">
        <v>144125</v>
      </c>
      <c r="J25" s="144">
        <v>134530</v>
      </c>
      <c r="K25" s="173">
        <f>143282+689</f>
        <v>143971</v>
      </c>
      <c r="L25" s="144">
        <f>142825+868</f>
        <v>143693</v>
      </c>
      <c r="M25" s="182">
        <v>143676</v>
      </c>
      <c r="N25" s="144">
        <v>106156</v>
      </c>
      <c r="O25" s="144">
        <v>143459</v>
      </c>
      <c r="P25" s="211">
        <v>142039</v>
      </c>
      <c r="Q25" s="194">
        <f>SUM(E25:P25)</f>
        <v>1616086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29"/>
  <sheetViews>
    <sheetView showGridLines="0" workbookViewId="0">
      <selection activeCell="G12" sqref="G12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1" t="s">
        <v>50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4" t="s">
        <v>45</v>
      </c>
      <c r="P5" s="264"/>
      <c r="Q5" s="264"/>
    </row>
    <row r="6" spans="2:17" ht="21" customHeight="1">
      <c r="B6" s="265" t="s">
        <v>46</v>
      </c>
      <c r="C6" s="266"/>
      <c r="D6" s="266"/>
      <c r="E6" s="269" t="s">
        <v>51</v>
      </c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1"/>
    </row>
    <row r="7" spans="2:17" ht="21" customHeight="1" thickBot="1">
      <c r="B7" s="267"/>
      <c r="C7" s="268"/>
      <c r="D7" s="26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2" t="s">
        <v>13</v>
      </c>
      <c r="C8" s="274" t="s">
        <v>14</v>
      </c>
      <c r="D8" s="275"/>
      <c r="E8" s="144">
        <f>SUM(E9:E10)</f>
        <v>1471</v>
      </c>
      <c r="F8" s="144">
        <f t="shared" ref="F8:P8" si="0">SUM(F9:F10)</f>
        <v>1270</v>
      </c>
      <c r="G8" s="144">
        <f t="shared" si="0"/>
        <v>1496</v>
      </c>
      <c r="H8" s="144">
        <f t="shared" si="0"/>
        <v>1466</v>
      </c>
      <c r="I8" s="144">
        <f t="shared" si="0"/>
        <v>1444</v>
      </c>
      <c r="J8" s="144">
        <f t="shared" si="0"/>
        <v>1430</v>
      </c>
      <c r="K8" s="144">
        <f t="shared" si="0"/>
        <v>1504</v>
      </c>
      <c r="L8" s="144">
        <f t="shared" si="0"/>
        <v>1513</v>
      </c>
      <c r="M8" s="144">
        <f t="shared" si="0"/>
        <v>1490</v>
      </c>
      <c r="N8" s="144">
        <f t="shared" si="0"/>
        <v>1544</v>
      </c>
      <c r="O8" s="144">
        <f t="shared" si="0"/>
        <v>1304</v>
      </c>
      <c r="P8" s="144">
        <f t="shared" si="0"/>
        <v>1570</v>
      </c>
      <c r="Q8" s="145">
        <f>SUM(Q9:Q10)</f>
        <v>17502</v>
      </c>
    </row>
    <row r="9" spans="2:17" ht="24.95" customHeight="1">
      <c r="B9" s="273"/>
      <c r="C9" s="260" t="s">
        <v>15</v>
      </c>
      <c r="D9" s="260"/>
      <c r="E9" s="168">
        <v>890</v>
      </c>
      <c r="F9" s="168">
        <v>767</v>
      </c>
      <c r="G9" s="121">
        <v>886</v>
      </c>
      <c r="H9" s="116">
        <v>897</v>
      </c>
      <c r="I9" s="121">
        <v>915</v>
      </c>
      <c r="J9" s="168">
        <v>841</v>
      </c>
      <c r="K9" s="122">
        <v>869</v>
      </c>
      <c r="L9" s="122">
        <v>864</v>
      </c>
      <c r="M9" s="122">
        <v>846</v>
      </c>
      <c r="N9" s="168">
        <v>871</v>
      </c>
      <c r="O9" s="168">
        <v>764</v>
      </c>
      <c r="P9" s="168">
        <v>960</v>
      </c>
      <c r="Q9" s="115">
        <f>SUM(E9:P9)</f>
        <v>10370</v>
      </c>
    </row>
    <row r="10" spans="2:17" ht="24.95" customHeight="1" thickBot="1">
      <c r="B10" s="273"/>
      <c r="C10" s="276" t="s">
        <v>16</v>
      </c>
      <c r="D10" s="276"/>
      <c r="E10" s="169">
        <v>581</v>
      </c>
      <c r="F10" s="169">
        <v>503</v>
      </c>
      <c r="G10" s="131">
        <v>610</v>
      </c>
      <c r="H10" s="132">
        <v>569</v>
      </c>
      <c r="I10" s="131">
        <v>529</v>
      </c>
      <c r="J10" s="169">
        <v>589</v>
      </c>
      <c r="K10" s="133">
        <v>635</v>
      </c>
      <c r="L10" s="133">
        <v>649</v>
      </c>
      <c r="M10" s="133">
        <v>644</v>
      </c>
      <c r="N10" s="169">
        <v>673</v>
      </c>
      <c r="O10" s="169">
        <v>540</v>
      </c>
      <c r="P10" s="169">
        <v>610</v>
      </c>
      <c r="Q10" s="134">
        <f>SUM(E10:P10)</f>
        <v>7132</v>
      </c>
    </row>
    <row r="11" spans="2:17" ht="24.95" customHeight="1" thickBot="1">
      <c r="B11" s="255" t="s">
        <v>17</v>
      </c>
      <c r="C11" s="274" t="s">
        <v>12</v>
      </c>
      <c r="D11" s="275"/>
      <c r="E11" s="146">
        <f>E12+E16</f>
        <v>10428470</v>
      </c>
      <c r="F11" s="146">
        <f t="shared" ref="F11:P11" si="1">F12+F16</f>
        <v>8913558</v>
      </c>
      <c r="G11" s="146">
        <f>G12+G16</f>
        <v>10029386</v>
      </c>
      <c r="H11" s="146">
        <f t="shared" si="1"/>
        <v>10065256</v>
      </c>
      <c r="I11" s="146">
        <f t="shared" si="1"/>
        <v>9529517</v>
      </c>
      <c r="J11" s="146">
        <f t="shared" si="1"/>
        <v>9822247</v>
      </c>
      <c r="K11" s="146">
        <f t="shared" si="1"/>
        <v>9218182</v>
      </c>
      <c r="L11" s="146">
        <f t="shared" si="1"/>
        <v>9460520</v>
      </c>
      <c r="M11" s="146">
        <f t="shared" si="1"/>
        <v>9315554</v>
      </c>
      <c r="N11" s="146">
        <f t="shared" si="1"/>
        <v>10209191</v>
      </c>
      <c r="O11" s="146">
        <f t="shared" si="1"/>
        <v>8703067</v>
      </c>
      <c r="P11" s="146">
        <f t="shared" si="1"/>
        <v>11019264</v>
      </c>
      <c r="Q11" s="147">
        <f>Q12+Q16</f>
        <v>116714212</v>
      </c>
    </row>
    <row r="12" spans="2:17" ht="24.95" customHeight="1">
      <c r="B12" s="256"/>
      <c r="C12" s="260" t="s">
        <v>15</v>
      </c>
      <c r="D12" s="135" t="s">
        <v>18</v>
      </c>
      <c r="E12" s="136">
        <f>SUM(E13:E15)</f>
        <v>9489798</v>
      </c>
      <c r="F12" s="136">
        <f>SUM(F13:F15)</f>
        <v>8040779</v>
      </c>
      <c r="G12" s="136">
        <f>SUM(G13:G15)</f>
        <v>9048084</v>
      </c>
      <c r="H12" s="136">
        <f>SUM(H13:H15)</f>
        <v>9157788</v>
      </c>
      <c r="I12" s="136">
        <f>SUM(I13:I15)</f>
        <v>8685487</v>
      </c>
      <c r="J12" s="136">
        <f t="shared" ref="J12:P12" si="2">SUM(J13:J15)</f>
        <v>8891548</v>
      </c>
      <c r="K12" s="136">
        <f>SUM(K13:K15)</f>
        <v>8370720</v>
      </c>
      <c r="L12" s="136">
        <f>SUM(L13:L15)</f>
        <v>8552834</v>
      </c>
      <c r="M12" s="136">
        <f>SUM(M13:M15)</f>
        <v>8371187</v>
      </c>
      <c r="N12" s="136">
        <f>SUM(N13:N15)</f>
        <v>9374169</v>
      </c>
      <c r="O12" s="136">
        <f t="shared" si="2"/>
        <v>8009916</v>
      </c>
      <c r="P12" s="136">
        <f t="shared" si="2"/>
        <v>10109129</v>
      </c>
      <c r="Q12" s="136">
        <f>SUM(Q13:Q15)</f>
        <v>106101439</v>
      </c>
    </row>
    <row r="13" spans="2:17" ht="24.95" customHeight="1">
      <c r="B13" s="256"/>
      <c r="C13" s="280"/>
      <c r="D13" s="167" t="s">
        <v>19</v>
      </c>
      <c r="E13" s="170">
        <v>7919963</v>
      </c>
      <c r="F13" s="156">
        <v>6572198</v>
      </c>
      <c r="G13" s="156">
        <v>7217428</v>
      </c>
      <c r="H13" s="156">
        <v>7490104</v>
      </c>
      <c r="I13" s="156">
        <v>6849434</v>
      </c>
      <c r="J13" s="156">
        <v>7194104</v>
      </c>
      <c r="K13" s="156">
        <v>6592752</v>
      </c>
      <c r="L13" s="156">
        <v>7031385</v>
      </c>
      <c r="M13" s="156">
        <v>6844586</v>
      </c>
      <c r="N13" s="156">
        <v>7672685</v>
      </c>
      <c r="O13" s="156">
        <v>6536775</v>
      </c>
      <c r="P13" s="164">
        <v>8142376</v>
      </c>
      <c r="Q13" s="136">
        <f>SUM(E13:P13)</f>
        <v>86063790</v>
      </c>
    </row>
    <row r="14" spans="2:17" ht="24.95" customHeight="1">
      <c r="B14" s="256"/>
      <c r="C14" s="280"/>
      <c r="D14" s="167" t="s">
        <v>20</v>
      </c>
      <c r="E14" s="170">
        <v>1297375</v>
      </c>
      <c r="F14" s="156">
        <v>1230591</v>
      </c>
      <c r="G14" s="156">
        <v>1607237</v>
      </c>
      <c r="H14" s="156">
        <v>1499151</v>
      </c>
      <c r="I14" s="156">
        <v>1608474</v>
      </c>
      <c r="J14" s="156">
        <v>1502235</v>
      </c>
      <c r="K14" s="156">
        <v>1539858</v>
      </c>
      <c r="L14" s="156">
        <v>1255620</v>
      </c>
      <c r="M14" s="156">
        <v>1325360</v>
      </c>
      <c r="N14" s="156">
        <v>1587110</v>
      </c>
      <c r="O14" s="156">
        <v>1248651</v>
      </c>
      <c r="P14" s="164">
        <v>1721943</v>
      </c>
      <c r="Q14" s="136">
        <f>SUM(E14:P14)</f>
        <v>17423605</v>
      </c>
    </row>
    <row r="15" spans="2:17" ht="24.95" customHeight="1">
      <c r="B15" s="256"/>
      <c r="C15" s="280"/>
      <c r="D15" s="167" t="s">
        <v>21</v>
      </c>
      <c r="E15" s="170">
        <v>272460</v>
      </c>
      <c r="F15" s="156">
        <v>237990</v>
      </c>
      <c r="G15" s="156">
        <v>223419</v>
      </c>
      <c r="H15" s="156">
        <v>168533</v>
      </c>
      <c r="I15" s="156">
        <v>227579</v>
      </c>
      <c r="J15" s="156">
        <v>195209</v>
      </c>
      <c r="K15" s="156">
        <v>238110</v>
      </c>
      <c r="L15" s="156">
        <v>265829</v>
      </c>
      <c r="M15" s="156">
        <v>201241</v>
      </c>
      <c r="N15" s="156">
        <v>114374</v>
      </c>
      <c r="O15" s="156">
        <v>224490</v>
      </c>
      <c r="P15" s="164">
        <v>244810</v>
      </c>
      <c r="Q15" s="136">
        <f t="shared" ref="Q15" si="3">SUM(E15:P15)</f>
        <v>2614044</v>
      </c>
    </row>
    <row r="16" spans="2:17" ht="24.95" customHeight="1">
      <c r="B16" s="256"/>
      <c r="C16" s="280" t="s">
        <v>22</v>
      </c>
      <c r="D16" s="120" t="s">
        <v>18</v>
      </c>
      <c r="E16" s="113">
        <f>SUM(E17:E19)</f>
        <v>938672</v>
      </c>
      <c r="F16" s="113">
        <f t="shared" ref="F16:P16" si="4">SUM(F17:F19)</f>
        <v>872779</v>
      </c>
      <c r="G16" s="113">
        <f t="shared" si="4"/>
        <v>981302</v>
      </c>
      <c r="H16" s="113">
        <f t="shared" si="4"/>
        <v>907468</v>
      </c>
      <c r="I16" s="113">
        <f t="shared" si="4"/>
        <v>844030</v>
      </c>
      <c r="J16" s="113">
        <f t="shared" si="4"/>
        <v>930699</v>
      </c>
      <c r="K16" s="113">
        <f t="shared" si="4"/>
        <v>847462</v>
      </c>
      <c r="L16" s="113">
        <f t="shared" si="4"/>
        <v>907686</v>
      </c>
      <c r="M16" s="113">
        <f t="shared" si="4"/>
        <v>944367</v>
      </c>
      <c r="N16" s="113">
        <f t="shared" si="4"/>
        <v>835022</v>
      </c>
      <c r="O16" s="113">
        <f t="shared" si="4"/>
        <v>693151</v>
      </c>
      <c r="P16" s="113">
        <f t="shared" si="4"/>
        <v>910135</v>
      </c>
      <c r="Q16" s="136">
        <f>SUM(Q17:Q19)</f>
        <v>10612773</v>
      </c>
    </row>
    <row r="17" spans="2:17" ht="24.95" customHeight="1">
      <c r="B17" s="256"/>
      <c r="C17" s="280"/>
      <c r="D17" s="167" t="s">
        <v>27</v>
      </c>
      <c r="E17" s="171">
        <v>643528</v>
      </c>
      <c r="F17" s="159">
        <v>603553</v>
      </c>
      <c r="G17" s="159">
        <v>704452</v>
      </c>
      <c r="H17" s="159">
        <v>619170</v>
      </c>
      <c r="I17" s="159">
        <v>620706</v>
      </c>
      <c r="J17" s="159">
        <v>656991</v>
      </c>
      <c r="K17" s="159">
        <v>575618</v>
      </c>
      <c r="L17" s="159">
        <v>627156</v>
      </c>
      <c r="M17" s="159">
        <v>625220</v>
      </c>
      <c r="N17" s="159">
        <v>623597</v>
      </c>
      <c r="O17" s="159">
        <v>559710</v>
      </c>
      <c r="P17" s="164">
        <v>714135</v>
      </c>
      <c r="Q17" s="136">
        <f t="shared" ref="Q17:Q18" si="5">SUM(E17:P17)</f>
        <v>7573836</v>
      </c>
    </row>
    <row r="18" spans="2:17" ht="24.95" customHeight="1">
      <c r="B18" s="256"/>
      <c r="C18" s="280"/>
      <c r="D18" s="167" t="s">
        <v>28</v>
      </c>
      <c r="E18" s="171">
        <v>295144</v>
      </c>
      <c r="F18" s="159">
        <v>269226</v>
      </c>
      <c r="G18" s="159">
        <v>276850</v>
      </c>
      <c r="H18" s="159">
        <v>288298</v>
      </c>
      <c r="I18" s="159">
        <v>223324</v>
      </c>
      <c r="J18" s="159">
        <v>273708</v>
      </c>
      <c r="K18" s="159">
        <v>271844</v>
      </c>
      <c r="L18" s="159">
        <v>280530</v>
      </c>
      <c r="M18" s="159">
        <v>319147</v>
      </c>
      <c r="N18" s="159">
        <v>211425</v>
      </c>
      <c r="O18" s="159">
        <v>133441</v>
      </c>
      <c r="P18" s="164">
        <v>196000</v>
      </c>
      <c r="Q18" s="136">
        <f t="shared" si="5"/>
        <v>3038937</v>
      </c>
    </row>
    <row r="19" spans="2:17" ht="24.95" customHeight="1">
      <c r="B19" s="256"/>
      <c r="C19" s="280"/>
      <c r="D19" s="167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2" t="s">
        <v>26</v>
      </c>
      <c r="P20" s="253"/>
      <c r="Q20" s="254"/>
    </row>
    <row r="21" spans="2:17" ht="24.95" customHeight="1" thickBot="1">
      <c r="B21" s="255" t="s">
        <v>23</v>
      </c>
      <c r="C21" s="257" t="s">
        <v>12</v>
      </c>
      <c r="D21" s="258"/>
      <c r="E21" s="144">
        <f t="shared" ref="E21:N21" si="6">SUM(E22:E24)</f>
        <v>70314</v>
      </c>
      <c r="F21" s="144">
        <f t="shared" si="6"/>
        <v>55773</v>
      </c>
      <c r="G21" s="144">
        <f t="shared" si="6"/>
        <v>79782</v>
      </c>
      <c r="H21" s="144">
        <f>SUM(H22:H24)</f>
        <v>84424</v>
      </c>
      <c r="I21" s="144">
        <f t="shared" si="6"/>
        <v>80401</v>
      </c>
      <c r="J21" s="144">
        <f t="shared" si="6"/>
        <v>81280</v>
      </c>
      <c r="K21" s="144">
        <f t="shared" si="6"/>
        <v>80006</v>
      </c>
      <c r="L21" s="144">
        <f>SUM(L22:L24)</f>
        <v>71223</v>
      </c>
      <c r="M21" s="144">
        <f>SUM(M22:M24)</f>
        <v>70188</v>
      </c>
      <c r="N21" s="144">
        <f t="shared" si="6"/>
        <v>84468</v>
      </c>
      <c r="O21" s="144">
        <f>SUM(O22:O24)</f>
        <v>81501</v>
      </c>
      <c r="P21" s="144">
        <f>SUM(P22:P24)</f>
        <v>85376</v>
      </c>
      <c r="Q21" s="145">
        <f>SUM(Q22:Q24)</f>
        <v>924736</v>
      </c>
    </row>
    <row r="22" spans="2:17" ht="24.95" customHeight="1">
      <c r="B22" s="256"/>
      <c r="C22" s="259" t="s">
        <v>15</v>
      </c>
      <c r="D22" s="166" t="s">
        <v>19</v>
      </c>
      <c r="E22" s="174">
        <v>35621</v>
      </c>
      <c r="F22" s="175">
        <v>27718</v>
      </c>
      <c r="G22" s="176">
        <v>40539</v>
      </c>
      <c r="H22" s="175">
        <v>43429</v>
      </c>
      <c r="I22" s="176">
        <v>39092</v>
      </c>
      <c r="J22" s="175">
        <v>40010</v>
      </c>
      <c r="K22" s="175">
        <v>36635</v>
      </c>
      <c r="L22" s="175">
        <v>35020</v>
      </c>
      <c r="M22" s="176">
        <v>35873</v>
      </c>
      <c r="N22" s="129">
        <v>41306</v>
      </c>
      <c r="O22" s="165">
        <v>37475</v>
      </c>
      <c r="P22" s="165">
        <v>41230</v>
      </c>
      <c r="Q22" s="115">
        <f>SUM(E22:P22)</f>
        <v>453948</v>
      </c>
    </row>
    <row r="23" spans="2:17" ht="24.95" customHeight="1">
      <c r="B23" s="256"/>
      <c r="C23" s="259"/>
      <c r="D23" s="167" t="s">
        <v>20</v>
      </c>
      <c r="E23" s="174">
        <v>33786</v>
      </c>
      <c r="F23" s="174">
        <v>27401</v>
      </c>
      <c r="G23" s="177">
        <v>38408</v>
      </c>
      <c r="H23" s="174">
        <v>40268</v>
      </c>
      <c r="I23" s="177">
        <v>40351</v>
      </c>
      <c r="J23" s="174">
        <v>40108</v>
      </c>
      <c r="K23" s="174">
        <v>42409</v>
      </c>
      <c r="L23" s="174">
        <v>35397</v>
      </c>
      <c r="M23" s="177">
        <v>33408</v>
      </c>
      <c r="N23" s="165">
        <v>41275</v>
      </c>
      <c r="O23" s="165">
        <v>41622</v>
      </c>
      <c r="P23" s="165">
        <v>42477</v>
      </c>
      <c r="Q23" s="118">
        <f>SUM(E23:P23)</f>
        <v>456910</v>
      </c>
    </row>
    <row r="24" spans="2:17" ht="24.95" customHeight="1" thickBot="1">
      <c r="B24" s="256"/>
      <c r="C24" s="260"/>
      <c r="D24" s="167" t="s">
        <v>21</v>
      </c>
      <c r="E24" s="174">
        <v>907</v>
      </c>
      <c r="F24" s="178">
        <v>654</v>
      </c>
      <c r="G24" s="179">
        <v>835</v>
      </c>
      <c r="H24" s="178">
        <v>727</v>
      </c>
      <c r="I24" s="179">
        <v>958</v>
      </c>
      <c r="J24" s="178">
        <v>1162</v>
      </c>
      <c r="K24" s="178">
        <v>962</v>
      </c>
      <c r="L24" s="178">
        <v>806</v>
      </c>
      <c r="M24" s="179">
        <v>907</v>
      </c>
      <c r="N24" s="130">
        <v>1887</v>
      </c>
      <c r="O24" s="165">
        <v>2404</v>
      </c>
      <c r="P24" s="165">
        <v>1669</v>
      </c>
      <c r="Q24" s="134">
        <f>SUM(E24:P24)</f>
        <v>13878</v>
      </c>
    </row>
    <row r="25" spans="2:17" ht="24.95" customHeight="1" thickBot="1">
      <c r="B25" s="277" t="s">
        <v>29</v>
      </c>
      <c r="C25" s="278"/>
      <c r="D25" s="279"/>
      <c r="E25" s="180">
        <v>128190</v>
      </c>
      <c r="F25" s="181">
        <v>119479</v>
      </c>
      <c r="G25" s="144">
        <v>142013</v>
      </c>
      <c r="H25" s="144">
        <v>140390</v>
      </c>
      <c r="I25" s="144">
        <v>142270</v>
      </c>
      <c r="J25" s="144">
        <v>145831</v>
      </c>
      <c r="K25" s="173">
        <v>137518</v>
      </c>
      <c r="L25" s="144">
        <v>118822</v>
      </c>
      <c r="M25" s="182">
        <v>113147</v>
      </c>
      <c r="N25" s="144">
        <v>121219</v>
      </c>
      <c r="O25" s="144">
        <v>107907</v>
      </c>
      <c r="P25" s="144">
        <v>143842</v>
      </c>
      <c r="Q25" s="145">
        <f>SUM(E25:P25)</f>
        <v>1560628</v>
      </c>
    </row>
    <row r="26" spans="2:17">
      <c r="B26" s="1"/>
      <c r="C26" s="1"/>
      <c r="D26" s="1"/>
      <c r="E26" s="1"/>
      <c r="F26" s="1"/>
      <c r="G26" s="1" t="s">
        <v>52</v>
      </c>
      <c r="H26" s="1"/>
      <c r="I26" s="1"/>
      <c r="J26" s="1"/>
      <c r="K26" s="172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25:D25"/>
    <mergeCell ref="B11:B19"/>
    <mergeCell ref="C11:D11"/>
    <mergeCell ref="C12:C15"/>
    <mergeCell ref="C16:C19"/>
    <mergeCell ref="O20:Q20"/>
    <mergeCell ref="B21:B24"/>
    <mergeCell ref="C21:D21"/>
    <mergeCell ref="C22:C24"/>
    <mergeCell ref="B3:Q3"/>
    <mergeCell ref="O5:Q5"/>
    <mergeCell ref="B6:D7"/>
    <mergeCell ref="E6:Q6"/>
    <mergeCell ref="B8:B10"/>
    <mergeCell ref="C8:D8"/>
    <mergeCell ref="C9:D9"/>
    <mergeCell ref="C10:D10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 G21 I21:J2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29"/>
  <sheetViews>
    <sheetView showGridLines="0" topLeftCell="D4" workbookViewId="0">
      <selection activeCell="M23" sqref="M23"/>
    </sheetView>
  </sheetViews>
  <sheetFormatPr defaultRowHeight="16.5"/>
  <cols>
    <col min="1" max="1" width="3.625" customWidth="1"/>
    <col min="5" max="12" width="10.625" customWidth="1"/>
    <col min="13" max="13" width="10.625" style="31" customWidth="1"/>
    <col min="14" max="14" width="10.625" customWidth="1"/>
    <col min="15" max="15" width="11.375" customWidth="1"/>
    <col min="16" max="16" width="9.25" bestFit="1" customWidth="1"/>
    <col min="17" max="17" width="11.875" customWidth="1"/>
  </cols>
  <sheetData>
    <row r="1" spans="2:17" ht="13.5" customHeight="1"/>
    <row r="2" spans="2:17" ht="13.5" customHeight="1"/>
    <row r="3" spans="2:17" ht="42.95" customHeight="1">
      <c r="B3" s="261" t="s">
        <v>49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3"/>
    </row>
    <row r="4" spans="2:17" ht="21" customHeight="1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/>
      <c r="O4" s="109"/>
      <c r="P4" s="109"/>
      <c r="Q4" s="109"/>
    </row>
    <row r="5" spans="2:17" ht="21" customHeight="1"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10"/>
      <c r="O5" s="264" t="s">
        <v>45</v>
      </c>
      <c r="P5" s="264"/>
      <c r="Q5" s="264"/>
    </row>
    <row r="6" spans="2:17" ht="21" customHeight="1">
      <c r="B6" s="265" t="s">
        <v>46</v>
      </c>
      <c r="C6" s="266"/>
      <c r="D6" s="266"/>
      <c r="E6" s="269" t="s">
        <v>44</v>
      </c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1"/>
    </row>
    <row r="7" spans="2:17" ht="21" customHeight="1" thickBot="1">
      <c r="B7" s="267"/>
      <c r="C7" s="268"/>
      <c r="D7" s="268"/>
      <c r="E7" s="142" t="s">
        <v>0</v>
      </c>
      <c r="F7" s="142" t="s">
        <v>1</v>
      </c>
      <c r="G7" s="142" t="s">
        <v>2</v>
      </c>
      <c r="H7" s="142" t="s">
        <v>3</v>
      </c>
      <c r="I7" s="142" t="s">
        <v>4</v>
      </c>
      <c r="J7" s="142" t="s">
        <v>5</v>
      </c>
      <c r="K7" s="142" t="s">
        <v>6</v>
      </c>
      <c r="L7" s="142" t="s">
        <v>7</v>
      </c>
      <c r="M7" s="142" t="s">
        <v>8</v>
      </c>
      <c r="N7" s="142" t="s">
        <v>9</v>
      </c>
      <c r="O7" s="142" t="s">
        <v>10</v>
      </c>
      <c r="P7" s="142" t="s">
        <v>11</v>
      </c>
      <c r="Q7" s="143" t="s">
        <v>47</v>
      </c>
    </row>
    <row r="8" spans="2:17" ht="24.95" customHeight="1" thickBot="1">
      <c r="B8" s="272" t="s">
        <v>13</v>
      </c>
      <c r="C8" s="274" t="s">
        <v>14</v>
      </c>
      <c r="D8" s="275"/>
      <c r="E8" s="144">
        <f>SUM(E9:E10)</f>
        <v>1385</v>
      </c>
      <c r="F8" s="144">
        <f t="shared" ref="F8:P8" si="0">SUM(F9:F10)</f>
        <v>1364</v>
      </c>
      <c r="G8" s="144">
        <f t="shared" si="0"/>
        <v>1578</v>
      </c>
      <c r="H8" s="144">
        <f t="shared" si="0"/>
        <v>1416</v>
      </c>
      <c r="I8" s="144">
        <f t="shared" si="0"/>
        <v>1441</v>
      </c>
      <c r="J8" s="144">
        <f t="shared" si="0"/>
        <v>1489</v>
      </c>
      <c r="K8" s="144">
        <f t="shared" si="0"/>
        <v>1470</v>
      </c>
      <c r="L8" s="144">
        <f t="shared" si="0"/>
        <v>1416</v>
      </c>
      <c r="M8" s="144">
        <f t="shared" si="0"/>
        <v>1379</v>
      </c>
      <c r="N8" s="144">
        <f t="shared" si="0"/>
        <v>1505</v>
      </c>
      <c r="O8" s="144">
        <f t="shared" si="0"/>
        <v>1359</v>
      </c>
      <c r="P8" s="144">
        <f t="shared" si="0"/>
        <v>1444</v>
      </c>
      <c r="Q8" s="145">
        <f>SUM(Q9:Q10)</f>
        <v>17246</v>
      </c>
    </row>
    <row r="9" spans="2:17" ht="24.95" customHeight="1">
      <c r="B9" s="273"/>
      <c r="C9" s="260" t="s">
        <v>15</v>
      </c>
      <c r="D9" s="260"/>
      <c r="E9" s="125">
        <v>861</v>
      </c>
      <c r="F9" s="125">
        <v>844</v>
      </c>
      <c r="G9" s="121">
        <v>974</v>
      </c>
      <c r="H9" s="116">
        <v>843</v>
      </c>
      <c r="I9" s="121">
        <v>889</v>
      </c>
      <c r="J9" s="125">
        <v>923</v>
      </c>
      <c r="K9" s="122">
        <v>872</v>
      </c>
      <c r="L9" s="122">
        <v>861</v>
      </c>
      <c r="M9" s="122">
        <v>817</v>
      </c>
      <c r="N9" s="125">
        <v>904</v>
      </c>
      <c r="O9" s="152">
        <v>846</v>
      </c>
      <c r="P9" s="161">
        <v>863</v>
      </c>
      <c r="Q9" s="115">
        <f>SUM(E9:P9)</f>
        <v>10497</v>
      </c>
    </row>
    <row r="10" spans="2:17" ht="24.95" customHeight="1" thickBot="1">
      <c r="B10" s="273"/>
      <c r="C10" s="276" t="s">
        <v>16</v>
      </c>
      <c r="D10" s="276"/>
      <c r="E10" s="126">
        <v>524</v>
      </c>
      <c r="F10" s="126">
        <v>520</v>
      </c>
      <c r="G10" s="131">
        <v>604</v>
      </c>
      <c r="H10" s="132">
        <v>573</v>
      </c>
      <c r="I10" s="131">
        <v>552</v>
      </c>
      <c r="J10" s="126">
        <v>566</v>
      </c>
      <c r="K10" s="133">
        <v>598</v>
      </c>
      <c r="L10" s="133">
        <v>555</v>
      </c>
      <c r="M10" s="133">
        <v>562</v>
      </c>
      <c r="N10" s="126">
        <v>601</v>
      </c>
      <c r="O10" s="153">
        <v>513</v>
      </c>
      <c r="P10" s="162">
        <v>581</v>
      </c>
      <c r="Q10" s="134">
        <f>SUM(E10:P10)</f>
        <v>6749</v>
      </c>
    </row>
    <row r="11" spans="2:17" ht="24.95" customHeight="1" thickBot="1">
      <c r="B11" s="255" t="s">
        <v>17</v>
      </c>
      <c r="C11" s="274" t="s">
        <v>12</v>
      </c>
      <c r="D11" s="275"/>
      <c r="E11" s="146">
        <f t="shared" ref="E11:P11" si="1">E12+E16</f>
        <v>10428099</v>
      </c>
      <c r="F11" s="146">
        <f t="shared" si="1"/>
        <v>10177155</v>
      </c>
      <c r="G11" s="146">
        <f t="shared" si="1"/>
        <v>11356131</v>
      </c>
      <c r="H11" s="146">
        <f t="shared" si="1"/>
        <v>9233222</v>
      </c>
      <c r="I11" s="146">
        <f t="shared" si="1"/>
        <v>9120385</v>
      </c>
      <c r="J11" s="146">
        <f t="shared" si="1"/>
        <v>8769196</v>
      </c>
      <c r="K11" s="146">
        <f t="shared" si="1"/>
        <v>9440183</v>
      </c>
      <c r="L11" s="146">
        <f t="shared" si="1"/>
        <v>8881047</v>
      </c>
      <c r="M11" s="146">
        <f t="shared" si="1"/>
        <v>8722073</v>
      </c>
      <c r="N11" s="146">
        <f t="shared" si="1"/>
        <v>9781624</v>
      </c>
      <c r="O11" s="146">
        <f t="shared" si="1"/>
        <v>9614616</v>
      </c>
      <c r="P11" s="146">
        <f t="shared" si="1"/>
        <v>10753014</v>
      </c>
      <c r="Q11" s="147">
        <f>Q12+Q16</f>
        <v>116276745</v>
      </c>
    </row>
    <row r="12" spans="2:17" ht="24.95" customHeight="1">
      <c r="B12" s="256"/>
      <c r="C12" s="260" t="s">
        <v>15</v>
      </c>
      <c r="D12" s="135" t="s">
        <v>18</v>
      </c>
      <c r="E12" s="136">
        <f>SUM(E13:E15)</f>
        <v>9578637</v>
      </c>
      <c r="F12" s="136">
        <f>SUM(F13:F15)</f>
        <v>9384046</v>
      </c>
      <c r="G12" s="136">
        <f>SUM(G13:G15)</f>
        <v>10277309</v>
      </c>
      <c r="H12" s="136">
        <f>SUM(H13:H15)</f>
        <v>8301895</v>
      </c>
      <c r="I12" s="136">
        <f>SUM(I13:I15)</f>
        <v>8203103</v>
      </c>
      <c r="J12" s="136">
        <f t="shared" ref="J12:P12" si="2">SUM(J13:J15)</f>
        <v>7925324</v>
      </c>
      <c r="K12" s="136">
        <f>SUM(K13:K15)</f>
        <v>8382526</v>
      </c>
      <c r="L12" s="136">
        <f>SUM(L13:L15)</f>
        <v>7962268</v>
      </c>
      <c r="M12" s="136">
        <f>SUM(M13:M15)</f>
        <v>7937448</v>
      </c>
      <c r="N12" s="136">
        <f>SUM(N13:N15)</f>
        <v>8805407</v>
      </c>
      <c r="O12" s="136">
        <f t="shared" si="2"/>
        <v>8727487</v>
      </c>
      <c r="P12" s="136">
        <f t="shared" si="2"/>
        <v>9752559</v>
      </c>
      <c r="Q12" s="137">
        <f>SUM(Q13:Q15)</f>
        <v>105238009</v>
      </c>
    </row>
    <row r="13" spans="2:17" ht="24.95" customHeight="1">
      <c r="B13" s="256"/>
      <c r="C13" s="280"/>
      <c r="D13" s="151" t="s">
        <v>19</v>
      </c>
      <c r="E13" s="156">
        <v>7993340</v>
      </c>
      <c r="F13" s="156">
        <v>7769114</v>
      </c>
      <c r="G13" s="156">
        <v>7836212</v>
      </c>
      <c r="H13" s="156">
        <v>6578764</v>
      </c>
      <c r="I13" s="156">
        <v>6514093</v>
      </c>
      <c r="J13" s="156">
        <v>6393175</v>
      </c>
      <c r="K13" s="156">
        <v>6521243</v>
      </c>
      <c r="L13" s="156">
        <v>6569364</v>
      </c>
      <c r="M13" s="156">
        <v>6274361</v>
      </c>
      <c r="N13" s="156">
        <v>7480240</v>
      </c>
      <c r="O13" s="156">
        <v>7029912</v>
      </c>
      <c r="P13" s="163">
        <v>7904905</v>
      </c>
      <c r="Q13" s="111">
        <f>SUM(E13:P13)</f>
        <v>84864723</v>
      </c>
    </row>
    <row r="14" spans="2:17" ht="24.95" customHeight="1">
      <c r="B14" s="256"/>
      <c r="C14" s="280"/>
      <c r="D14" s="151" t="s">
        <v>20</v>
      </c>
      <c r="E14" s="156">
        <v>1254899</v>
      </c>
      <c r="F14" s="156">
        <v>1403632</v>
      </c>
      <c r="G14" s="156">
        <v>2055442</v>
      </c>
      <c r="H14" s="156">
        <v>1466854</v>
      </c>
      <c r="I14" s="156">
        <v>1471580</v>
      </c>
      <c r="J14" s="156">
        <v>1389332</v>
      </c>
      <c r="K14" s="156">
        <v>1606750</v>
      </c>
      <c r="L14" s="156">
        <v>1166953</v>
      </c>
      <c r="M14" s="156">
        <v>1460237</v>
      </c>
      <c r="N14" s="156">
        <v>1125282</v>
      </c>
      <c r="O14" s="156">
        <v>1459900</v>
      </c>
      <c r="P14" s="163">
        <v>1621631</v>
      </c>
      <c r="Q14" s="111">
        <f>SUM(E14:P14)</f>
        <v>17482492</v>
      </c>
    </row>
    <row r="15" spans="2:17" ht="24.95" customHeight="1">
      <c r="B15" s="256"/>
      <c r="C15" s="280"/>
      <c r="D15" s="151" t="s">
        <v>21</v>
      </c>
      <c r="E15" s="156">
        <v>330398</v>
      </c>
      <c r="F15" s="156">
        <v>211300</v>
      </c>
      <c r="G15" s="156">
        <v>385655</v>
      </c>
      <c r="H15" s="156">
        <v>256277</v>
      </c>
      <c r="I15" s="156">
        <v>217430</v>
      </c>
      <c r="J15" s="156">
        <v>142817</v>
      </c>
      <c r="K15" s="156">
        <v>254533</v>
      </c>
      <c r="L15" s="156">
        <v>225951</v>
      </c>
      <c r="M15" s="156">
        <v>202850</v>
      </c>
      <c r="N15" s="156">
        <v>199885</v>
      </c>
      <c r="O15" s="156">
        <v>237675</v>
      </c>
      <c r="P15" s="163">
        <v>226023</v>
      </c>
      <c r="Q15" s="111">
        <f>SUM(E15:P15)</f>
        <v>2890794</v>
      </c>
    </row>
    <row r="16" spans="2:17" ht="24.95" customHeight="1">
      <c r="B16" s="256"/>
      <c r="C16" s="280" t="s">
        <v>22</v>
      </c>
      <c r="D16" s="120" t="s">
        <v>18</v>
      </c>
      <c r="E16" s="113">
        <f t="shared" ref="E16:P16" si="3">SUM(E17:E19)</f>
        <v>849462</v>
      </c>
      <c r="F16" s="113">
        <f t="shared" si="3"/>
        <v>793109</v>
      </c>
      <c r="G16" s="113">
        <f t="shared" si="3"/>
        <v>1078822</v>
      </c>
      <c r="H16" s="113">
        <f t="shared" si="3"/>
        <v>931327</v>
      </c>
      <c r="I16" s="113">
        <f t="shared" si="3"/>
        <v>917282</v>
      </c>
      <c r="J16" s="113">
        <f t="shared" si="3"/>
        <v>843872</v>
      </c>
      <c r="K16" s="113">
        <f t="shared" si="3"/>
        <v>1057657</v>
      </c>
      <c r="L16" s="113">
        <f t="shared" si="3"/>
        <v>918779</v>
      </c>
      <c r="M16" s="113">
        <f t="shared" si="3"/>
        <v>784625</v>
      </c>
      <c r="N16" s="113">
        <f t="shared" si="3"/>
        <v>976217</v>
      </c>
      <c r="O16" s="113">
        <f t="shared" si="3"/>
        <v>887129</v>
      </c>
      <c r="P16" s="113">
        <f t="shared" si="3"/>
        <v>1000455</v>
      </c>
      <c r="Q16" s="111">
        <f>SUM(Q17:Q19)</f>
        <v>11038736</v>
      </c>
    </row>
    <row r="17" spans="2:17" ht="24.95" customHeight="1">
      <c r="B17" s="256"/>
      <c r="C17" s="280"/>
      <c r="D17" s="151" t="s">
        <v>27</v>
      </c>
      <c r="E17" s="159">
        <v>611095</v>
      </c>
      <c r="F17" s="159">
        <v>483573</v>
      </c>
      <c r="G17" s="159">
        <v>727840</v>
      </c>
      <c r="H17" s="159">
        <v>702013</v>
      </c>
      <c r="I17" s="159">
        <v>665602</v>
      </c>
      <c r="J17" s="159">
        <v>571042</v>
      </c>
      <c r="K17" s="159">
        <v>743255</v>
      </c>
      <c r="L17" s="159">
        <v>616844</v>
      </c>
      <c r="M17" s="159">
        <v>480542</v>
      </c>
      <c r="N17" s="159">
        <v>685061</v>
      </c>
      <c r="O17" s="159">
        <v>689278</v>
      </c>
      <c r="P17" s="164">
        <v>725313</v>
      </c>
      <c r="Q17" s="111">
        <f>SUM(E17:P17)</f>
        <v>7701458</v>
      </c>
    </row>
    <row r="18" spans="2:17" ht="24.95" customHeight="1">
      <c r="B18" s="256"/>
      <c r="C18" s="280"/>
      <c r="D18" s="151" t="s">
        <v>28</v>
      </c>
      <c r="E18" s="159">
        <v>238367</v>
      </c>
      <c r="F18" s="159">
        <v>309536</v>
      </c>
      <c r="G18" s="159">
        <v>350982</v>
      </c>
      <c r="H18" s="159">
        <v>229314</v>
      </c>
      <c r="I18" s="159">
        <v>251680</v>
      </c>
      <c r="J18" s="159">
        <v>272830</v>
      </c>
      <c r="K18" s="159">
        <v>314402</v>
      </c>
      <c r="L18" s="159">
        <v>301935</v>
      </c>
      <c r="M18" s="159">
        <v>304083</v>
      </c>
      <c r="N18" s="159">
        <v>291156</v>
      </c>
      <c r="O18" s="159">
        <v>197851</v>
      </c>
      <c r="P18" s="164">
        <v>275142</v>
      </c>
      <c r="Q18" s="111">
        <f>SUM(E18:P18)</f>
        <v>3337278</v>
      </c>
    </row>
    <row r="19" spans="2:17" ht="24.95" customHeight="1">
      <c r="B19" s="256"/>
      <c r="C19" s="280"/>
      <c r="D19" s="114" t="s">
        <v>21</v>
      </c>
      <c r="E19" s="157">
        <v>0</v>
      </c>
      <c r="F19" s="160">
        <v>0</v>
      </c>
      <c r="G19" s="155">
        <v>0</v>
      </c>
      <c r="H19" s="158">
        <v>0</v>
      </c>
      <c r="I19" s="155">
        <v>0</v>
      </c>
      <c r="J19" s="158">
        <v>0</v>
      </c>
      <c r="K19" s="158">
        <v>0</v>
      </c>
      <c r="L19" s="158">
        <v>0</v>
      </c>
      <c r="M19" s="158">
        <v>0</v>
      </c>
      <c r="N19" s="160">
        <v>0</v>
      </c>
      <c r="O19" s="160">
        <v>0</v>
      </c>
      <c r="P19" s="117">
        <v>0</v>
      </c>
      <c r="Q19" s="112">
        <f>SUM(E19:P19)</f>
        <v>0</v>
      </c>
    </row>
    <row r="20" spans="2:17" ht="24.95" customHeight="1" thickBot="1">
      <c r="B20" s="149"/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252" t="s">
        <v>48</v>
      </c>
      <c r="P20" s="253"/>
      <c r="Q20" s="254"/>
    </row>
    <row r="21" spans="2:17" ht="24.95" customHeight="1" thickBot="1">
      <c r="B21" s="255" t="s">
        <v>23</v>
      </c>
      <c r="C21" s="257" t="s">
        <v>12</v>
      </c>
      <c r="D21" s="258"/>
      <c r="E21" s="144">
        <f t="shared" ref="E21:O21" si="4">SUM(E22:E24)</f>
        <v>62008</v>
      </c>
      <c r="F21" s="144">
        <f t="shared" si="4"/>
        <v>61176.25</v>
      </c>
      <c r="G21" s="144">
        <v>72463</v>
      </c>
      <c r="H21" s="144">
        <f t="shared" si="4"/>
        <v>66519</v>
      </c>
      <c r="I21" s="144">
        <f t="shared" si="4"/>
        <v>71150</v>
      </c>
      <c r="J21" s="144">
        <f t="shared" si="4"/>
        <v>66104</v>
      </c>
      <c r="K21" s="144">
        <f t="shared" si="4"/>
        <v>67651</v>
      </c>
      <c r="L21" s="144">
        <f t="shared" si="4"/>
        <v>70798.25</v>
      </c>
      <c r="M21" s="144">
        <f t="shared" si="4"/>
        <v>70324.75</v>
      </c>
      <c r="N21" s="144">
        <f t="shared" si="4"/>
        <v>65751.5</v>
      </c>
      <c r="O21" s="144">
        <f t="shared" si="4"/>
        <v>73309.25</v>
      </c>
      <c r="P21" s="144">
        <f>SUM(P22:P24)</f>
        <v>70621</v>
      </c>
      <c r="Q21" s="145">
        <f>SUM(Q22:Q24)</f>
        <v>817875.5</v>
      </c>
    </row>
    <row r="22" spans="2:17" ht="24.95" customHeight="1">
      <c r="B22" s="256"/>
      <c r="C22" s="259" t="s">
        <v>15</v>
      </c>
      <c r="D22" s="138" t="s">
        <v>19</v>
      </c>
      <c r="E22" s="129">
        <v>31546</v>
      </c>
      <c r="F22" s="129">
        <v>29555.5</v>
      </c>
      <c r="G22" s="139">
        <v>35330.25</v>
      </c>
      <c r="H22" s="129">
        <v>34319.75</v>
      </c>
      <c r="I22" s="139">
        <v>35787.5</v>
      </c>
      <c r="J22" s="129">
        <v>31223.5</v>
      </c>
      <c r="K22" s="140">
        <v>33840.5</v>
      </c>
      <c r="L22" s="129">
        <v>35403.75</v>
      </c>
      <c r="M22" s="139">
        <v>35171.25</v>
      </c>
      <c r="N22" s="129">
        <v>34294.5</v>
      </c>
      <c r="O22" s="154">
        <v>35358</v>
      </c>
      <c r="P22" s="165">
        <v>34268</v>
      </c>
      <c r="Q22" s="115">
        <f>SUM(E22:P22)</f>
        <v>406098.5</v>
      </c>
    </row>
    <row r="23" spans="2:17" ht="24.95" customHeight="1">
      <c r="B23" s="256"/>
      <c r="C23" s="259"/>
      <c r="D23" s="114" t="s">
        <v>20</v>
      </c>
      <c r="E23" s="124">
        <v>29105</v>
      </c>
      <c r="F23" s="124">
        <v>31053.75</v>
      </c>
      <c r="G23" s="119">
        <v>36589</v>
      </c>
      <c r="H23" s="124">
        <v>31642</v>
      </c>
      <c r="I23" s="119">
        <v>34783.5</v>
      </c>
      <c r="J23" s="124">
        <v>34236</v>
      </c>
      <c r="K23" s="123">
        <v>33093.5</v>
      </c>
      <c r="L23" s="124">
        <v>34357.75</v>
      </c>
      <c r="M23" s="119">
        <v>34653.75</v>
      </c>
      <c r="N23" s="124">
        <v>30966.25</v>
      </c>
      <c r="O23" s="154">
        <v>37349</v>
      </c>
      <c r="P23" s="165">
        <v>35459</v>
      </c>
      <c r="Q23" s="118">
        <f>SUM(E23:P23)</f>
        <v>403288.5</v>
      </c>
    </row>
    <row r="24" spans="2:17" ht="24.95" customHeight="1" thickBot="1">
      <c r="B24" s="256"/>
      <c r="C24" s="260"/>
      <c r="D24" s="114" t="s">
        <v>21</v>
      </c>
      <c r="E24" s="130">
        <v>1357</v>
      </c>
      <c r="F24" s="130">
        <v>567</v>
      </c>
      <c r="G24" s="141">
        <v>543.25</v>
      </c>
      <c r="H24" s="130">
        <v>557.25</v>
      </c>
      <c r="I24" s="141">
        <v>579</v>
      </c>
      <c r="J24" s="130">
        <v>644.5</v>
      </c>
      <c r="K24" s="126">
        <v>717</v>
      </c>
      <c r="L24" s="130">
        <v>1036.75</v>
      </c>
      <c r="M24" s="141">
        <v>499.75</v>
      </c>
      <c r="N24" s="130">
        <v>490.75</v>
      </c>
      <c r="O24" s="154">
        <v>602.25</v>
      </c>
      <c r="P24" s="165">
        <v>894</v>
      </c>
      <c r="Q24" s="134">
        <f>SUM(E24:P24)</f>
        <v>8488.5</v>
      </c>
    </row>
    <row r="25" spans="2:17" ht="24.95" customHeight="1" thickBot="1">
      <c r="B25" s="277" t="s">
        <v>29</v>
      </c>
      <c r="C25" s="278"/>
      <c r="D25" s="279"/>
      <c r="E25" s="127">
        <v>152953</v>
      </c>
      <c r="F25" s="128">
        <v>133698</v>
      </c>
      <c r="G25" s="144">
        <v>170077</v>
      </c>
      <c r="H25" s="144">
        <v>145176</v>
      </c>
      <c r="I25" s="144">
        <v>149334</v>
      </c>
      <c r="J25" s="144">
        <v>128076</v>
      </c>
      <c r="K25" s="144">
        <v>142899</v>
      </c>
      <c r="L25" s="144">
        <v>105008</v>
      </c>
      <c r="M25" s="148">
        <v>107713</v>
      </c>
      <c r="N25" s="144">
        <v>105217</v>
      </c>
      <c r="O25" s="144">
        <v>137964</v>
      </c>
      <c r="P25" s="144">
        <v>138443</v>
      </c>
      <c r="Q25" s="145">
        <f>SUM(E25:P25)</f>
        <v>1616558</v>
      </c>
    </row>
    <row r="26" spans="2:17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32"/>
      <c r="N26" s="1"/>
    </row>
    <row r="28" spans="2:17">
      <c r="H28" s="20"/>
    </row>
    <row r="29" spans="2:17">
      <c r="F29" s="106"/>
      <c r="H29" s="106"/>
      <c r="I29" s="106"/>
      <c r="N29" s="106"/>
    </row>
  </sheetData>
  <mergeCells count="17">
    <mergeCell ref="B3:Q3"/>
    <mergeCell ref="O5:Q5"/>
    <mergeCell ref="O20:Q20"/>
    <mergeCell ref="B6:D7"/>
    <mergeCell ref="B8:B10"/>
    <mergeCell ref="C8:D8"/>
    <mergeCell ref="C9:D9"/>
    <mergeCell ref="C10:D10"/>
    <mergeCell ref="E6:Q6"/>
    <mergeCell ref="B25:D25"/>
    <mergeCell ref="B11:B19"/>
    <mergeCell ref="C11:D11"/>
    <mergeCell ref="C12:C15"/>
    <mergeCell ref="C16:C19"/>
    <mergeCell ref="B21:B24"/>
    <mergeCell ref="C22:C24"/>
    <mergeCell ref="C21:D21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E21:P21" formulaRange="1"/>
    <ignoredError sqref="Q16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28"/>
  <sheetViews>
    <sheetView workbookViewId="0">
      <selection activeCell="G14" sqref="G14"/>
    </sheetView>
  </sheetViews>
  <sheetFormatPr defaultRowHeight="16.5"/>
  <cols>
    <col min="4" max="11" width="10.625" customWidth="1"/>
    <col min="12" max="12" width="10.625" style="31" customWidth="1"/>
    <col min="13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94" t="s">
        <v>40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6"/>
    </row>
    <row r="3" spans="1:16" ht="16.5" customHeight="1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9"/>
    </row>
    <row r="4" spans="1:16">
      <c r="M4" s="24"/>
      <c r="O4" t="s">
        <v>38</v>
      </c>
    </row>
    <row r="5" spans="1:16" ht="20.25">
      <c r="A5" s="300" t="s">
        <v>24</v>
      </c>
      <c r="B5" s="301"/>
      <c r="C5" s="302"/>
      <c r="D5" s="306" t="s">
        <v>43</v>
      </c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8"/>
      <c r="P5" s="309"/>
    </row>
    <row r="6" spans="1:16">
      <c r="A6" s="303"/>
      <c r="B6" s="304"/>
      <c r="C6" s="30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41</v>
      </c>
      <c r="K6" s="6" t="s">
        <v>42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10" t="s">
        <v>13</v>
      </c>
      <c r="B7" s="287" t="s">
        <v>14</v>
      </c>
      <c r="C7" s="288"/>
      <c r="D7" s="33">
        <f>SUM(D8:D9)</f>
        <v>1545</v>
      </c>
      <c r="E7" s="71">
        <f t="shared" ref="E7:O7" si="0">SUM(E8:E9)</f>
        <v>1201</v>
      </c>
      <c r="F7" s="71">
        <f t="shared" si="0"/>
        <v>1519</v>
      </c>
      <c r="G7" s="71">
        <f t="shared" si="0"/>
        <v>1416</v>
      </c>
      <c r="H7" s="71">
        <f t="shared" si="0"/>
        <v>1519</v>
      </c>
      <c r="I7" s="71">
        <f t="shared" si="0"/>
        <v>1347</v>
      </c>
      <c r="J7" s="71">
        <f t="shared" si="0"/>
        <v>1395</v>
      </c>
      <c r="K7" s="71">
        <f t="shared" si="0"/>
        <v>1438</v>
      </c>
      <c r="L7" s="71">
        <f t="shared" si="0"/>
        <v>1272</v>
      </c>
      <c r="M7" s="71">
        <f t="shared" si="0"/>
        <v>1321</v>
      </c>
      <c r="N7" s="71">
        <f t="shared" si="0"/>
        <v>1283</v>
      </c>
      <c r="O7" s="71">
        <f t="shared" si="0"/>
        <v>1370</v>
      </c>
      <c r="P7" s="9">
        <f>SUM(P8:P9)</f>
        <v>16626</v>
      </c>
    </row>
    <row r="8" spans="1:16" ht="24.95" customHeight="1">
      <c r="A8" s="311"/>
      <c r="B8" s="313" t="s">
        <v>15</v>
      </c>
      <c r="C8" s="314"/>
      <c r="D8" s="36">
        <v>906</v>
      </c>
      <c r="E8" s="44">
        <v>703</v>
      </c>
      <c r="F8" s="48">
        <v>889</v>
      </c>
      <c r="G8" s="56">
        <v>839</v>
      </c>
      <c r="H8" s="65">
        <v>923</v>
      </c>
      <c r="I8" s="73">
        <v>820</v>
      </c>
      <c r="J8" s="17">
        <v>852</v>
      </c>
      <c r="K8" s="17">
        <v>871</v>
      </c>
      <c r="L8" s="17">
        <v>744</v>
      </c>
      <c r="M8" s="103">
        <v>835</v>
      </c>
      <c r="N8" s="17">
        <v>800</v>
      </c>
      <c r="O8" s="17">
        <v>827</v>
      </c>
      <c r="P8" s="18">
        <f>SUM(D8:O8)</f>
        <v>10009</v>
      </c>
    </row>
    <row r="9" spans="1:16" ht="24.95" customHeight="1">
      <c r="A9" s="312"/>
      <c r="B9" s="313" t="s">
        <v>16</v>
      </c>
      <c r="C9" s="314"/>
      <c r="D9" s="37">
        <v>639</v>
      </c>
      <c r="E9" s="45">
        <v>498</v>
      </c>
      <c r="F9" s="49">
        <v>630</v>
      </c>
      <c r="G9" s="56">
        <v>577</v>
      </c>
      <c r="H9" s="66">
        <v>596</v>
      </c>
      <c r="I9" s="74">
        <v>527</v>
      </c>
      <c r="J9" s="17">
        <v>543</v>
      </c>
      <c r="K9" s="17">
        <v>567</v>
      </c>
      <c r="L9" s="17">
        <v>528</v>
      </c>
      <c r="M9" s="104">
        <v>486</v>
      </c>
      <c r="N9" s="17">
        <v>483</v>
      </c>
      <c r="O9" s="17">
        <v>543</v>
      </c>
      <c r="P9" s="18">
        <f>SUM(D9:O9)</f>
        <v>6617</v>
      </c>
    </row>
    <row r="10" spans="1:16" ht="24.95" customHeight="1">
      <c r="A10" s="284" t="s">
        <v>17</v>
      </c>
      <c r="B10" s="287" t="s">
        <v>12</v>
      </c>
      <c r="C10" s="288"/>
      <c r="D10" s="63">
        <f t="shared" ref="D10:O10" si="1">D11+D15</f>
        <v>11079805</v>
      </c>
      <c r="E10" s="63">
        <f t="shared" si="1"/>
        <v>8046185</v>
      </c>
      <c r="F10" s="63">
        <f t="shared" si="1"/>
        <v>10743789</v>
      </c>
      <c r="G10" s="63">
        <f t="shared" si="1"/>
        <v>9411823</v>
      </c>
      <c r="H10" s="63">
        <f t="shared" si="1"/>
        <v>9966538</v>
      </c>
      <c r="I10" s="11">
        <f t="shared" si="1"/>
        <v>8994791</v>
      </c>
      <c r="J10" s="11">
        <f t="shared" si="1"/>
        <v>9856279</v>
      </c>
      <c r="K10" s="63">
        <f t="shared" ref="K10:M10" si="2">K11+K15</f>
        <v>9743180</v>
      </c>
      <c r="L10" s="63">
        <f t="shared" si="2"/>
        <v>8504863</v>
      </c>
      <c r="M10" s="63">
        <f t="shared" si="2"/>
        <v>10659814</v>
      </c>
      <c r="N10" s="11">
        <f t="shared" si="1"/>
        <v>9369836</v>
      </c>
      <c r="O10" s="11">
        <f t="shared" si="1"/>
        <v>9760374</v>
      </c>
      <c r="P10" s="11">
        <f>SUM(P11,P15)</f>
        <v>116137277</v>
      </c>
    </row>
    <row r="11" spans="1:16" ht="24.95" customHeight="1">
      <c r="A11" s="285"/>
      <c r="B11" s="289" t="s">
        <v>15</v>
      </c>
      <c r="C11" s="13" t="s">
        <v>18</v>
      </c>
      <c r="D11" s="64">
        <f>SUM(D12:D14)</f>
        <v>9975080</v>
      </c>
      <c r="E11" s="64">
        <f>SUM(E12:E14)</f>
        <v>7069342</v>
      </c>
      <c r="F11" s="64">
        <f>SUM(F12:F14)</f>
        <v>9636958</v>
      </c>
      <c r="G11" s="64">
        <f>SUM(G12:G14)</f>
        <v>8408170</v>
      </c>
      <c r="H11" s="64">
        <f>SUM(H12:H14)</f>
        <v>8862330</v>
      </c>
      <c r="I11" s="14">
        <f t="shared" ref="I11:O11" si="3">SUM(I12:I14)</f>
        <v>7997879</v>
      </c>
      <c r="J11" s="14">
        <f>SUM(J12:J14)</f>
        <v>8878707</v>
      </c>
      <c r="K11" s="64">
        <f>SUM(K12:K14)</f>
        <v>8770769</v>
      </c>
      <c r="L11" s="64">
        <f>SUM(L12:L14)</f>
        <v>7529174</v>
      </c>
      <c r="M11" s="64">
        <f>SUM(M12:M14)</f>
        <v>9855337</v>
      </c>
      <c r="N11" s="14">
        <f t="shared" si="3"/>
        <v>8513488</v>
      </c>
      <c r="O11" s="14">
        <f t="shared" si="3"/>
        <v>8838268</v>
      </c>
      <c r="P11" s="19">
        <f>SUM(P12:P14)</f>
        <v>104335502</v>
      </c>
    </row>
    <row r="12" spans="1:16" ht="24.95" customHeight="1">
      <c r="A12" s="285"/>
      <c r="B12" s="290"/>
      <c r="C12" s="2" t="s">
        <v>19</v>
      </c>
      <c r="D12" s="34">
        <v>8017191</v>
      </c>
      <c r="E12" s="42">
        <v>5781319</v>
      </c>
      <c r="F12" s="50">
        <v>7959600</v>
      </c>
      <c r="G12" s="57">
        <v>6714057</v>
      </c>
      <c r="H12" s="67">
        <v>7049281</v>
      </c>
      <c r="I12" s="75">
        <v>6580069</v>
      </c>
      <c r="J12" s="81">
        <v>6942437</v>
      </c>
      <c r="K12" s="87">
        <v>7260189</v>
      </c>
      <c r="L12" s="93">
        <v>6044011</v>
      </c>
      <c r="M12" s="99">
        <v>8302315</v>
      </c>
      <c r="N12" s="4">
        <v>7031409</v>
      </c>
      <c r="O12" s="26">
        <v>7339164</v>
      </c>
      <c r="P12" s="19">
        <f>SUM(D12:O12)</f>
        <v>85021042</v>
      </c>
    </row>
    <row r="13" spans="1:16" ht="24.95" customHeight="1">
      <c r="A13" s="285"/>
      <c r="B13" s="290"/>
      <c r="C13" s="2" t="s">
        <v>20</v>
      </c>
      <c r="D13" s="34">
        <v>1626741</v>
      </c>
      <c r="E13" s="42">
        <v>1055310</v>
      </c>
      <c r="F13" s="50">
        <v>1322244</v>
      </c>
      <c r="G13" s="57">
        <v>1394522</v>
      </c>
      <c r="H13" s="67">
        <v>1328398</v>
      </c>
      <c r="I13" s="75">
        <v>1090149</v>
      </c>
      <c r="J13" s="81">
        <v>1629058</v>
      </c>
      <c r="K13" s="87">
        <v>1227718</v>
      </c>
      <c r="L13" s="93">
        <v>1237203</v>
      </c>
      <c r="M13" s="99">
        <v>1306434</v>
      </c>
      <c r="N13" s="4">
        <v>1291863</v>
      </c>
      <c r="O13" s="26">
        <v>1249586</v>
      </c>
      <c r="P13" s="19">
        <f>SUM(D13:O13)</f>
        <v>15759226</v>
      </c>
    </row>
    <row r="14" spans="1:16" ht="24.95" customHeight="1">
      <c r="A14" s="285"/>
      <c r="B14" s="291"/>
      <c r="C14" s="2" t="s">
        <v>21</v>
      </c>
      <c r="D14" s="38">
        <v>331148</v>
      </c>
      <c r="E14" s="46">
        <v>232713</v>
      </c>
      <c r="F14" s="51">
        <v>355114</v>
      </c>
      <c r="G14" s="59">
        <v>299591</v>
      </c>
      <c r="H14" s="68">
        <v>484651</v>
      </c>
      <c r="I14" s="76">
        <v>327661</v>
      </c>
      <c r="J14" s="82">
        <v>307212</v>
      </c>
      <c r="K14" s="88">
        <v>282862</v>
      </c>
      <c r="L14" s="94">
        <v>247960</v>
      </c>
      <c r="M14" s="100">
        <v>246588</v>
      </c>
      <c r="N14" s="4">
        <v>190216</v>
      </c>
      <c r="O14" s="27">
        <v>249518</v>
      </c>
      <c r="P14" s="19">
        <f>SUM(D14:O14)</f>
        <v>3555234</v>
      </c>
    </row>
    <row r="15" spans="1:16" ht="24.95" customHeight="1">
      <c r="A15" s="285"/>
      <c r="B15" s="289" t="s">
        <v>22</v>
      </c>
      <c r="C15" s="13" t="s">
        <v>18</v>
      </c>
      <c r="D15" s="64">
        <f t="shared" ref="D15" si="4">SUM(D16:D18)</f>
        <v>1104725</v>
      </c>
      <c r="E15" s="64">
        <f t="shared" ref="E15" si="5">SUM(E16:E18)</f>
        <v>976843</v>
      </c>
      <c r="F15" s="64">
        <f t="shared" ref="F15" si="6">SUM(F16:F18)</f>
        <v>1106831</v>
      </c>
      <c r="G15" s="64">
        <f t="shared" ref="G15" si="7">SUM(G16:G18)</f>
        <v>1003653</v>
      </c>
      <c r="H15" s="64">
        <f t="shared" ref="H15" si="8">SUM(H16:H18)</f>
        <v>1104208</v>
      </c>
      <c r="I15" s="14">
        <f t="shared" ref="I15:O15" si="9">SUM(I16:I18)</f>
        <v>996912</v>
      </c>
      <c r="J15" s="14">
        <f t="shared" si="9"/>
        <v>977572</v>
      </c>
      <c r="K15" s="64">
        <f t="shared" ref="K15:M15" si="10">SUM(K16:K18)</f>
        <v>972411</v>
      </c>
      <c r="L15" s="64">
        <f t="shared" si="10"/>
        <v>975689</v>
      </c>
      <c r="M15" s="64">
        <f t="shared" si="10"/>
        <v>804477</v>
      </c>
      <c r="N15" s="14">
        <f t="shared" si="9"/>
        <v>856348</v>
      </c>
      <c r="O15" s="14">
        <f t="shared" si="9"/>
        <v>922106</v>
      </c>
      <c r="P15" s="19">
        <f>SUM(P16:P18)</f>
        <v>11801775</v>
      </c>
    </row>
    <row r="16" spans="1:16" ht="24.95" customHeight="1">
      <c r="A16" s="285"/>
      <c r="B16" s="290"/>
      <c r="C16" s="2" t="s">
        <v>27</v>
      </c>
      <c r="D16" s="34">
        <v>715563</v>
      </c>
      <c r="E16" s="42">
        <v>678363</v>
      </c>
      <c r="F16" s="50">
        <v>726969</v>
      </c>
      <c r="G16" s="57">
        <v>741454</v>
      </c>
      <c r="H16" s="67">
        <v>691523</v>
      </c>
      <c r="I16" s="77">
        <v>732197</v>
      </c>
      <c r="J16" s="83">
        <v>673804</v>
      </c>
      <c r="K16" s="89">
        <v>741831</v>
      </c>
      <c r="L16" s="95">
        <v>682382</v>
      </c>
      <c r="M16" s="101">
        <v>614635</v>
      </c>
      <c r="N16" s="4">
        <v>664917</v>
      </c>
      <c r="O16" s="28">
        <v>632067</v>
      </c>
      <c r="P16" s="19">
        <f>SUM(D16:O16)</f>
        <v>8295705</v>
      </c>
    </row>
    <row r="17" spans="1:16" ht="24.95" customHeight="1">
      <c r="A17" s="285"/>
      <c r="B17" s="290"/>
      <c r="C17" s="2" t="s">
        <v>28</v>
      </c>
      <c r="D17" s="35">
        <v>389162</v>
      </c>
      <c r="E17" s="43">
        <v>298480</v>
      </c>
      <c r="F17" s="52">
        <v>379862</v>
      </c>
      <c r="G17" s="58">
        <v>262199</v>
      </c>
      <c r="H17" s="69">
        <v>412685</v>
      </c>
      <c r="I17" s="78">
        <v>264715</v>
      </c>
      <c r="J17" s="84">
        <v>303768</v>
      </c>
      <c r="K17" s="90">
        <v>230580</v>
      </c>
      <c r="L17" s="96">
        <v>293307</v>
      </c>
      <c r="M17" s="102">
        <v>189842</v>
      </c>
      <c r="N17" s="4">
        <v>191431</v>
      </c>
      <c r="O17" s="29">
        <v>290039</v>
      </c>
      <c r="P17" s="19">
        <f>SUM(D17:O17)</f>
        <v>3506070</v>
      </c>
    </row>
    <row r="18" spans="1:16" ht="24.95" customHeight="1">
      <c r="A18" s="286"/>
      <c r="B18" s="291"/>
      <c r="C18" s="2" t="s">
        <v>21</v>
      </c>
      <c r="D18" s="107">
        <v>0</v>
      </c>
      <c r="E18" s="41">
        <v>0</v>
      </c>
      <c r="F18" s="53">
        <v>0</v>
      </c>
      <c r="G18" s="60">
        <v>0</v>
      </c>
      <c r="H18" s="70">
        <v>0</v>
      </c>
      <c r="I18" s="79">
        <v>0</v>
      </c>
      <c r="J18" s="85">
        <v>0</v>
      </c>
      <c r="K18" s="91">
        <v>0</v>
      </c>
      <c r="L18" s="97">
        <v>0</v>
      </c>
      <c r="M18" s="5">
        <v>0</v>
      </c>
      <c r="N18" s="5">
        <v>0</v>
      </c>
      <c r="O18" s="107">
        <v>0</v>
      </c>
      <c r="P18" s="108">
        <f>SUM(D18:O18)</f>
        <v>0</v>
      </c>
    </row>
    <row r="19" spans="1:16" ht="24.95" customHeight="1">
      <c r="A19" s="292"/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t="s">
        <v>26</v>
      </c>
    </row>
    <row r="20" spans="1:16" ht="24.95" customHeight="1">
      <c r="A20" s="284" t="s">
        <v>23</v>
      </c>
      <c r="B20" s="289" t="s">
        <v>15</v>
      </c>
      <c r="C20" s="10" t="s">
        <v>12</v>
      </c>
      <c r="D20" s="71">
        <f t="shared" ref="D20:N20" si="11">SUM(D21:D23)</f>
        <v>88435</v>
      </c>
      <c r="E20" s="23">
        <v>52278</v>
      </c>
      <c r="F20" s="71">
        <f t="shared" si="11"/>
        <v>68935</v>
      </c>
      <c r="G20" s="23">
        <v>69681</v>
      </c>
      <c r="H20" s="23">
        <v>88782</v>
      </c>
      <c r="I20" s="9">
        <f t="shared" si="11"/>
        <v>68587</v>
      </c>
      <c r="J20" s="9">
        <f t="shared" si="11"/>
        <v>82281</v>
      </c>
      <c r="K20" s="71">
        <f t="shared" ref="K20:L20" si="12">SUM(K21:K23)</f>
        <v>73211</v>
      </c>
      <c r="L20" s="71">
        <f t="shared" si="12"/>
        <v>60871</v>
      </c>
      <c r="M20" s="23">
        <v>71468</v>
      </c>
      <c r="N20" s="9">
        <f t="shared" si="11"/>
        <v>65897</v>
      </c>
      <c r="O20" s="9">
        <f>SUM(O21:O23)</f>
        <v>61527</v>
      </c>
      <c r="P20" s="9">
        <f>SUM(P21:P23)</f>
        <v>851953.4</v>
      </c>
    </row>
    <row r="21" spans="1:16" ht="24.95" customHeight="1">
      <c r="A21" s="285"/>
      <c r="B21" s="290"/>
      <c r="C21" s="2" t="s">
        <v>19</v>
      </c>
      <c r="D21" s="39">
        <v>44857</v>
      </c>
      <c r="E21" s="105">
        <v>22735.1</v>
      </c>
      <c r="F21" s="55">
        <v>33198</v>
      </c>
      <c r="G21" s="62">
        <v>34947.699999999997</v>
      </c>
      <c r="H21" s="72">
        <v>44316.800000000003</v>
      </c>
      <c r="I21" s="80">
        <v>36293</v>
      </c>
      <c r="J21" s="86">
        <v>36868</v>
      </c>
      <c r="K21" s="92">
        <v>35910</v>
      </c>
      <c r="L21" s="98">
        <v>30877</v>
      </c>
      <c r="M21" s="105">
        <v>33854.9</v>
      </c>
      <c r="N21" s="25">
        <v>31368</v>
      </c>
      <c r="O21" s="30">
        <v>30815</v>
      </c>
      <c r="P21" s="18">
        <f>SUM(D21:O21)</f>
        <v>416040.5</v>
      </c>
    </row>
    <row r="22" spans="1:16" ht="24.95" customHeight="1">
      <c r="A22" s="285"/>
      <c r="B22" s="290"/>
      <c r="C22" s="2" t="s">
        <v>20</v>
      </c>
      <c r="D22" s="39">
        <v>42778</v>
      </c>
      <c r="E22" s="105">
        <v>26662.400000000001</v>
      </c>
      <c r="F22" s="55">
        <v>34333</v>
      </c>
      <c r="G22" s="62">
        <v>32459.5</v>
      </c>
      <c r="H22" s="72">
        <v>42404.5</v>
      </c>
      <c r="I22" s="80">
        <v>30786</v>
      </c>
      <c r="J22" s="86">
        <v>44020</v>
      </c>
      <c r="K22" s="92">
        <v>36003</v>
      </c>
      <c r="L22" s="98">
        <v>29532</v>
      </c>
      <c r="M22" s="105">
        <v>35288.5</v>
      </c>
      <c r="N22" s="25">
        <v>33748</v>
      </c>
      <c r="O22" s="30">
        <v>30257</v>
      </c>
      <c r="P22" s="18">
        <f>SUM(D22:O22)</f>
        <v>418271.9</v>
      </c>
    </row>
    <row r="23" spans="1:16" ht="24.95" customHeight="1">
      <c r="A23" s="286"/>
      <c r="B23" s="291"/>
      <c r="C23" s="2" t="s">
        <v>21</v>
      </c>
      <c r="D23" s="39">
        <f>493+307</f>
        <v>800</v>
      </c>
      <c r="E23" s="105">
        <f>1443+1437</f>
        <v>2880</v>
      </c>
      <c r="F23" s="55">
        <f>660+744</f>
        <v>1404</v>
      </c>
      <c r="G23" s="62">
        <f>1101+1173</f>
        <v>2274</v>
      </c>
      <c r="H23" s="72">
        <f>1124+937</f>
        <v>2061</v>
      </c>
      <c r="I23" s="80">
        <f>1062+446</f>
        <v>1508</v>
      </c>
      <c r="J23" s="86">
        <f>300+1093</f>
        <v>1393</v>
      </c>
      <c r="K23" s="92">
        <f>699+599</f>
        <v>1298</v>
      </c>
      <c r="L23" s="98">
        <f>269+193</f>
        <v>462</v>
      </c>
      <c r="M23" s="105">
        <f>1529+796</f>
        <v>2325</v>
      </c>
      <c r="N23" s="25">
        <f>113+668</f>
        <v>781</v>
      </c>
      <c r="O23" s="30">
        <f>311+144</f>
        <v>455</v>
      </c>
      <c r="P23" s="18">
        <f>SUM(D23:O23)</f>
        <v>17641</v>
      </c>
    </row>
    <row r="24" spans="1:16" ht="24.95" customHeight="1">
      <c r="A24" s="281" t="s">
        <v>29</v>
      </c>
      <c r="B24" s="282"/>
      <c r="C24" s="283"/>
      <c r="D24" s="40">
        <v>142514</v>
      </c>
      <c r="E24" s="47">
        <v>110725</v>
      </c>
      <c r="F24" s="54">
        <v>139673</v>
      </c>
      <c r="G24" s="61">
        <v>132600</v>
      </c>
      <c r="H24" s="71">
        <v>137476</v>
      </c>
      <c r="I24" s="9">
        <v>112428</v>
      </c>
      <c r="J24" s="9">
        <v>164321</v>
      </c>
      <c r="K24" s="71">
        <v>140421</v>
      </c>
      <c r="L24" s="71">
        <v>126567</v>
      </c>
      <c r="M24" s="23">
        <v>140063</v>
      </c>
      <c r="N24" s="23">
        <v>141047</v>
      </c>
      <c r="O24" s="9">
        <v>147955</v>
      </c>
      <c r="P24" s="71">
        <f>SUM(D24:O24)</f>
        <v>1635790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32"/>
      <c r="M25" s="1"/>
    </row>
    <row r="27" spans="1:16">
      <c r="G27" s="20"/>
    </row>
    <row r="28" spans="1:16">
      <c r="E28" s="106"/>
      <c r="G28" s="106"/>
      <c r="H28" s="106"/>
      <c r="M28" s="106"/>
    </row>
  </sheetData>
  <mergeCells count="16">
    <mergeCell ref="A2:P3"/>
    <mergeCell ref="A5:C6"/>
    <mergeCell ref="D5:N5"/>
    <mergeCell ref="O5:P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N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P27"/>
  <sheetViews>
    <sheetView workbookViewId="0">
      <selection activeCell="C25" sqref="C25"/>
    </sheetView>
  </sheetViews>
  <sheetFormatPr defaultRowHeight="16.5"/>
  <cols>
    <col min="4" max="13" width="10.625" customWidth="1"/>
    <col min="14" max="14" width="11.375" customWidth="1"/>
    <col min="15" max="15" width="9.25" bestFit="1" customWidth="1"/>
    <col min="16" max="16" width="11.875" customWidth="1"/>
  </cols>
  <sheetData>
    <row r="2" spans="1:16" ht="16.5" customHeight="1">
      <c r="A2" s="294" t="s">
        <v>37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6"/>
    </row>
    <row r="3" spans="1:16" ht="16.5" customHeight="1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9"/>
    </row>
    <row r="4" spans="1:16">
      <c r="M4" s="24"/>
      <c r="O4" t="s">
        <v>38</v>
      </c>
    </row>
    <row r="5" spans="1:16" ht="20.25">
      <c r="A5" s="300" t="s">
        <v>24</v>
      </c>
      <c r="B5" s="301"/>
      <c r="C5" s="302"/>
      <c r="D5" s="309" t="s">
        <v>36</v>
      </c>
      <c r="E5" s="309"/>
      <c r="F5" s="309"/>
      <c r="G5" s="309"/>
      <c r="H5" s="309"/>
      <c r="I5" s="309"/>
      <c r="J5" s="309"/>
      <c r="K5" s="309"/>
      <c r="L5" s="309"/>
      <c r="M5" s="309"/>
      <c r="N5" s="306"/>
      <c r="O5" s="308"/>
      <c r="P5" s="309"/>
    </row>
    <row r="6" spans="1:16">
      <c r="A6" s="303"/>
      <c r="B6" s="304"/>
      <c r="C6" s="30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10" t="s">
        <v>13</v>
      </c>
      <c r="B7" s="287" t="s">
        <v>14</v>
      </c>
      <c r="C7" s="288"/>
      <c r="D7" s="9">
        <f t="shared" ref="D7:O7" si="0">D8+D9</f>
        <v>1431</v>
      </c>
      <c r="E7" s="9">
        <f t="shared" si="0"/>
        <v>1279</v>
      </c>
      <c r="F7" s="9">
        <f t="shared" ref="F7" si="1">F8+F9</f>
        <v>1449</v>
      </c>
      <c r="G7" s="9">
        <f t="shared" si="0"/>
        <v>1397</v>
      </c>
      <c r="H7" s="9">
        <f t="shared" si="0"/>
        <v>1411</v>
      </c>
      <c r="I7" s="9">
        <f t="shared" si="0"/>
        <v>1383</v>
      </c>
      <c r="J7" s="9">
        <f t="shared" si="0"/>
        <v>1358</v>
      </c>
      <c r="K7" s="9">
        <f>K8+K9</f>
        <v>1345</v>
      </c>
      <c r="L7" s="9">
        <f>L8+L9</f>
        <v>1351</v>
      </c>
      <c r="M7" s="9">
        <f t="shared" si="0"/>
        <v>1361</v>
      </c>
      <c r="N7" s="9">
        <f t="shared" si="0"/>
        <v>1340</v>
      </c>
      <c r="O7" s="9">
        <f t="shared" si="0"/>
        <v>1368</v>
      </c>
      <c r="P7" s="9">
        <f>SUM(D7:O7)</f>
        <v>16473</v>
      </c>
    </row>
    <row r="8" spans="1:16" ht="24.95" customHeight="1">
      <c r="A8" s="311"/>
      <c r="B8" s="313" t="s">
        <v>15</v>
      </c>
      <c r="C8" s="314"/>
      <c r="D8" s="7">
        <v>844</v>
      </c>
      <c r="E8" s="7">
        <v>783</v>
      </c>
      <c r="F8" s="7">
        <v>873</v>
      </c>
      <c r="G8" s="7">
        <v>858</v>
      </c>
      <c r="H8" s="17">
        <v>847</v>
      </c>
      <c r="I8" s="17">
        <v>867</v>
      </c>
      <c r="J8" s="17">
        <v>819</v>
      </c>
      <c r="K8" s="17">
        <v>818</v>
      </c>
      <c r="L8" s="17">
        <v>815</v>
      </c>
      <c r="M8" s="17">
        <v>840</v>
      </c>
      <c r="N8" s="17">
        <v>847</v>
      </c>
      <c r="O8" s="17">
        <v>880</v>
      </c>
      <c r="P8" s="18">
        <f t="shared" ref="P8:P17" si="2">SUM(D8:O8)</f>
        <v>10091</v>
      </c>
    </row>
    <row r="9" spans="1:16" ht="24.95" customHeight="1">
      <c r="A9" s="312"/>
      <c r="B9" s="313" t="s">
        <v>16</v>
      </c>
      <c r="C9" s="314"/>
      <c r="D9" s="7">
        <v>587</v>
      </c>
      <c r="E9" s="7">
        <v>496</v>
      </c>
      <c r="F9" s="7">
        <v>576</v>
      </c>
      <c r="G9" s="7">
        <v>539</v>
      </c>
      <c r="H9" s="17">
        <v>564</v>
      </c>
      <c r="I9" s="17">
        <v>516</v>
      </c>
      <c r="J9" s="17">
        <v>539</v>
      </c>
      <c r="K9" s="17">
        <v>527</v>
      </c>
      <c r="L9" s="17">
        <v>536</v>
      </c>
      <c r="M9" s="22">
        <v>521</v>
      </c>
      <c r="N9" s="17">
        <v>493</v>
      </c>
      <c r="O9" s="17">
        <v>488</v>
      </c>
      <c r="P9" s="18">
        <f t="shared" si="2"/>
        <v>6382</v>
      </c>
    </row>
    <row r="10" spans="1:16" ht="24.95" customHeight="1">
      <c r="A10" s="284" t="s">
        <v>17</v>
      </c>
      <c r="B10" s="287" t="s">
        <v>12</v>
      </c>
      <c r="C10" s="288"/>
      <c r="D10" s="11">
        <f t="shared" ref="D10:O10" si="3">D11+D15</f>
        <v>10114101</v>
      </c>
      <c r="E10" s="11">
        <f t="shared" si="3"/>
        <v>9590516</v>
      </c>
      <c r="F10" s="11">
        <f t="shared" ref="F10:G10" si="4">F11+F15</f>
        <v>10424813</v>
      </c>
      <c r="G10" s="11">
        <f t="shared" si="4"/>
        <v>9386284</v>
      </c>
      <c r="H10" s="11">
        <f t="shared" si="3"/>
        <v>9175559</v>
      </c>
      <c r="I10" s="11">
        <f t="shared" si="3"/>
        <v>9250444</v>
      </c>
      <c r="J10" s="11">
        <f t="shared" si="3"/>
        <v>9639284</v>
      </c>
      <c r="K10" s="11">
        <f t="shared" si="3"/>
        <v>9500218</v>
      </c>
      <c r="L10" s="11">
        <f t="shared" si="3"/>
        <v>9576335</v>
      </c>
      <c r="M10" s="11">
        <f t="shared" si="3"/>
        <v>9997934</v>
      </c>
      <c r="N10" s="11">
        <f t="shared" si="3"/>
        <v>9864403</v>
      </c>
      <c r="O10" s="11">
        <f t="shared" si="3"/>
        <v>10356261</v>
      </c>
      <c r="P10" s="11">
        <f t="shared" si="2"/>
        <v>116876152</v>
      </c>
    </row>
    <row r="11" spans="1:16" ht="24.95" customHeight="1">
      <c r="A11" s="285"/>
      <c r="B11" s="289" t="s">
        <v>15</v>
      </c>
      <c r="C11" s="13" t="s">
        <v>18</v>
      </c>
      <c r="D11" s="14">
        <f t="shared" ref="D11:O11" si="5">SUM(D12:D14)</f>
        <v>9148163</v>
      </c>
      <c r="E11" s="14">
        <f t="shared" si="5"/>
        <v>8647121</v>
      </c>
      <c r="F11" s="14">
        <f t="shared" ref="F11:G11" si="6">SUM(F12:F14)</f>
        <v>9322474</v>
      </c>
      <c r="G11" s="14">
        <f t="shared" si="6"/>
        <v>8500026</v>
      </c>
      <c r="H11" s="14">
        <f t="shared" si="5"/>
        <v>8167633</v>
      </c>
      <c r="I11" s="14">
        <f t="shared" si="5"/>
        <v>8259395</v>
      </c>
      <c r="J11" s="14">
        <f t="shared" si="5"/>
        <v>8633668</v>
      </c>
      <c r="K11" s="14">
        <f t="shared" si="5"/>
        <v>8419086</v>
      </c>
      <c r="L11" s="14">
        <f>SUM(L12:L14)</f>
        <v>8644061</v>
      </c>
      <c r="M11" s="14">
        <f t="shared" si="5"/>
        <v>8965639</v>
      </c>
      <c r="N11" s="14">
        <f t="shared" si="5"/>
        <v>9006426</v>
      </c>
      <c r="O11" s="14">
        <f t="shared" si="5"/>
        <v>9253827</v>
      </c>
      <c r="P11" s="19">
        <f t="shared" si="2"/>
        <v>104967519</v>
      </c>
    </row>
    <row r="12" spans="1:16" ht="24.95" customHeight="1">
      <c r="A12" s="285"/>
      <c r="B12" s="290"/>
      <c r="C12" s="2" t="s">
        <v>19</v>
      </c>
      <c r="D12" s="4">
        <v>7302016</v>
      </c>
      <c r="E12" s="4">
        <v>7101769</v>
      </c>
      <c r="F12" s="4">
        <v>7403271</v>
      </c>
      <c r="G12" s="4">
        <v>6607766</v>
      </c>
      <c r="H12" s="4">
        <v>6456669</v>
      </c>
      <c r="I12" s="4">
        <v>6577417</v>
      </c>
      <c r="J12" s="4">
        <v>6983617</v>
      </c>
      <c r="K12" s="4">
        <v>6812410</v>
      </c>
      <c r="L12" s="4">
        <v>6955754</v>
      </c>
      <c r="M12" s="4">
        <v>7218324</v>
      </c>
      <c r="N12" s="4">
        <v>7511917</v>
      </c>
      <c r="O12" s="26">
        <v>7652227</v>
      </c>
      <c r="P12" s="19">
        <f t="shared" si="2"/>
        <v>84583157</v>
      </c>
    </row>
    <row r="13" spans="1:16" ht="24.95" customHeight="1">
      <c r="A13" s="285"/>
      <c r="B13" s="290"/>
      <c r="C13" s="2" t="s">
        <v>20</v>
      </c>
      <c r="D13" s="4">
        <v>1356860</v>
      </c>
      <c r="E13" s="4">
        <v>1179659</v>
      </c>
      <c r="F13" s="4">
        <v>1457213</v>
      </c>
      <c r="G13" s="4">
        <v>1439165</v>
      </c>
      <c r="H13" s="4">
        <v>1277617</v>
      </c>
      <c r="I13" s="4">
        <v>1262686</v>
      </c>
      <c r="J13" s="4">
        <v>1289981</v>
      </c>
      <c r="K13" s="4">
        <v>1172312</v>
      </c>
      <c r="L13" s="4">
        <v>1245610</v>
      </c>
      <c r="M13" s="4">
        <v>1311386</v>
      </c>
      <c r="N13" s="4">
        <v>1171863</v>
      </c>
      <c r="O13" s="26">
        <v>1248540</v>
      </c>
      <c r="P13" s="19">
        <f t="shared" si="2"/>
        <v>15412892</v>
      </c>
    </row>
    <row r="14" spans="1:16" ht="24.95" customHeight="1">
      <c r="A14" s="285"/>
      <c r="B14" s="291"/>
      <c r="C14" s="2" t="s">
        <v>21</v>
      </c>
      <c r="D14" s="4">
        <v>489287</v>
      </c>
      <c r="E14" s="4">
        <v>365693</v>
      </c>
      <c r="F14" s="4">
        <v>461990</v>
      </c>
      <c r="G14" s="4">
        <v>453095</v>
      </c>
      <c r="H14" s="4">
        <v>433347</v>
      </c>
      <c r="I14" s="4">
        <v>419292</v>
      </c>
      <c r="J14" s="4">
        <v>360070</v>
      </c>
      <c r="K14" s="4">
        <v>434364</v>
      </c>
      <c r="L14" s="4">
        <v>442697</v>
      </c>
      <c r="M14" s="4">
        <v>435929</v>
      </c>
      <c r="N14" s="4">
        <v>322646</v>
      </c>
      <c r="O14" s="27">
        <v>353060</v>
      </c>
      <c r="P14" s="19">
        <f t="shared" si="2"/>
        <v>4971470</v>
      </c>
    </row>
    <row r="15" spans="1:16" ht="24.95" customHeight="1">
      <c r="A15" s="285"/>
      <c r="B15" s="289" t="s">
        <v>22</v>
      </c>
      <c r="C15" s="13" t="s">
        <v>18</v>
      </c>
      <c r="D15" s="14">
        <f>SUM(D16:D17)</f>
        <v>965938</v>
      </c>
      <c r="E15" s="14">
        <f t="shared" ref="E15:O15" si="7">SUM(E16:E18)</f>
        <v>943395</v>
      </c>
      <c r="F15" s="14">
        <f t="shared" ref="F15" si="8">SUM(F16:F18)</f>
        <v>1102339</v>
      </c>
      <c r="G15" s="14">
        <f t="shared" si="7"/>
        <v>886258</v>
      </c>
      <c r="H15" s="14">
        <f t="shared" si="7"/>
        <v>1007926</v>
      </c>
      <c r="I15" s="14">
        <f t="shared" si="7"/>
        <v>991049</v>
      </c>
      <c r="J15" s="14">
        <f t="shared" si="7"/>
        <v>1005616</v>
      </c>
      <c r="K15" s="14">
        <f t="shared" si="7"/>
        <v>1081132</v>
      </c>
      <c r="L15" s="14">
        <f t="shared" si="7"/>
        <v>932274</v>
      </c>
      <c r="M15" s="14">
        <f t="shared" si="7"/>
        <v>1032295</v>
      </c>
      <c r="N15" s="14">
        <f t="shared" ref="N15" si="9">SUM(N16:N18)</f>
        <v>857977</v>
      </c>
      <c r="O15" s="14">
        <f t="shared" si="7"/>
        <v>1102434</v>
      </c>
      <c r="P15" s="19">
        <f t="shared" si="2"/>
        <v>11908633</v>
      </c>
    </row>
    <row r="16" spans="1:16" ht="24.95" customHeight="1">
      <c r="A16" s="285"/>
      <c r="B16" s="290"/>
      <c r="C16" s="2" t="s">
        <v>27</v>
      </c>
      <c r="D16" s="4">
        <v>639511</v>
      </c>
      <c r="E16" s="4">
        <v>688778</v>
      </c>
      <c r="F16" s="4">
        <v>821985</v>
      </c>
      <c r="G16" s="4">
        <v>628888</v>
      </c>
      <c r="H16" s="4">
        <v>751049</v>
      </c>
      <c r="I16" s="4">
        <v>719886</v>
      </c>
      <c r="J16" s="4">
        <v>714166</v>
      </c>
      <c r="K16" s="4">
        <v>769775</v>
      </c>
      <c r="L16" s="4">
        <v>669248</v>
      </c>
      <c r="M16" s="4">
        <v>753234</v>
      </c>
      <c r="N16" s="4">
        <v>629257</v>
      </c>
      <c r="O16" s="28">
        <v>859483</v>
      </c>
      <c r="P16" s="19">
        <f t="shared" si="2"/>
        <v>8645260</v>
      </c>
    </row>
    <row r="17" spans="1:16" ht="24.95" customHeight="1">
      <c r="A17" s="285"/>
      <c r="B17" s="290"/>
      <c r="C17" s="2" t="s">
        <v>28</v>
      </c>
      <c r="D17" s="4">
        <v>326427</v>
      </c>
      <c r="E17" s="4">
        <v>254617</v>
      </c>
      <c r="F17" s="4">
        <v>280354</v>
      </c>
      <c r="G17" s="4">
        <v>257370</v>
      </c>
      <c r="H17" s="4">
        <v>256877</v>
      </c>
      <c r="I17" s="4">
        <v>271163</v>
      </c>
      <c r="J17" s="4">
        <v>291450</v>
      </c>
      <c r="K17" s="4">
        <v>311357</v>
      </c>
      <c r="L17" s="4">
        <v>263026</v>
      </c>
      <c r="M17" s="4">
        <v>279061</v>
      </c>
      <c r="N17" s="4">
        <v>228720</v>
      </c>
      <c r="O17" s="29">
        <v>242951</v>
      </c>
      <c r="P17" s="19">
        <f t="shared" si="2"/>
        <v>3263373</v>
      </c>
    </row>
    <row r="18" spans="1:16" ht="24.95" customHeight="1">
      <c r="A18" s="286"/>
      <c r="B18" s="291"/>
      <c r="C18" s="2" t="s">
        <v>21</v>
      </c>
      <c r="D18" s="3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29">
        <v>0</v>
      </c>
      <c r="P18" s="21"/>
    </row>
    <row r="19" spans="1:16" ht="24.95" customHeight="1">
      <c r="A19" s="292"/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t="s">
        <v>39</v>
      </c>
    </row>
    <row r="20" spans="1:16" ht="24.95" customHeight="1">
      <c r="A20" s="284" t="s">
        <v>23</v>
      </c>
      <c r="B20" s="289" t="s">
        <v>15</v>
      </c>
      <c r="C20" s="10" t="s">
        <v>12</v>
      </c>
      <c r="D20" s="9">
        <f t="shared" ref="D20:N20" si="10">SUM(D21:D23)</f>
        <v>72896.25</v>
      </c>
      <c r="E20" s="12">
        <f t="shared" si="10"/>
        <v>55801.25</v>
      </c>
      <c r="F20" s="12">
        <f t="shared" ref="F20" si="11">SUM(F21:F23)</f>
        <v>79254.25</v>
      </c>
      <c r="G20" s="9">
        <f t="shared" si="10"/>
        <v>81007</v>
      </c>
      <c r="H20" s="9">
        <f t="shared" si="10"/>
        <v>80507.75</v>
      </c>
      <c r="I20" s="9">
        <f t="shared" si="10"/>
        <v>85223</v>
      </c>
      <c r="J20" s="9">
        <f t="shared" si="10"/>
        <v>78097.5</v>
      </c>
      <c r="K20" s="9">
        <f t="shared" si="10"/>
        <v>82960.5</v>
      </c>
      <c r="L20" s="9">
        <f t="shared" si="10"/>
        <v>80683.5</v>
      </c>
      <c r="M20" s="9">
        <f t="shared" si="10"/>
        <v>72789</v>
      </c>
      <c r="N20" s="9">
        <f t="shared" si="10"/>
        <v>87101</v>
      </c>
      <c r="O20" s="9">
        <f>SUM(O21:O23)</f>
        <v>79924.75</v>
      </c>
      <c r="P20" s="9">
        <f>SUM(D20:O20)</f>
        <v>936245.75</v>
      </c>
    </row>
    <row r="21" spans="1:16" ht="24.95" customHeight="1">
      <c r="A21" s="285"/>
      <c r="B21" s="290"/>
      <c r="C21" s="2" t="s">
        <v>19</v>
      </c>
      <c r="D21" s="7">
        <v>35564.25</v>
      </c>
      <c r="E21" s="8">
        <v>27020.25</v>
      </c>
      <c r="F21" s="8">
        <v>39086.5</v>
      </c>
      <c r="G21" s="7">
        <v>41777</v>
      </c>
      <c r="H21" s="7">
        <v>40775.25</v>
      </c>
      <c r="I21" s="7">
        <v>43440.75</v>
      </c>
      <c r="J21" s="7">
        <v>37750.75</v>
      </c>
      <c r="K21" s="7">
        <v>41691.25</v>
      </c>
      <c r="L21" s="7">
        <v>40961.75</v>
      </c>
      <c r="M21" s="7">
        <v>36343</v>
      </c>
      <c r="N21" s="25">
        <v>43846</v>
      </c>
      <c r="O21" s="30">
        <v>39110.5</v>
      </c>
      <c r="P21" s="18">
        <f>SUM(D21:O21)</f>
        <v>467367.25</v>
      </c>
    </row>
    <row r="22" spans="1:16" ht="24.95" customHeight="1">
      <c r="A22" s="285"/>
      <c r="B22" s="290"/>
      <c r="C22" s="2" t="s">
        <v>20</v>
      </c>
      <c r="D22" s="7">
        <v>36208.5</v>
      </c>
      <c r="E22" s="8">
        <v>27144.5</v>
      </c>
      <c r="F22" s="8">
        <v>39181</v>
      </c>
      <c r="G22" s="7">
        <v>38541.25</v>
      </c>
      <c r="H22" s="7">
        <v>38714.5</v>
      </c>
      <c r="I22" s="7">
        <v>40689.25</v>
      </c>
      <c r="J22" s="7">
        <v>39536.75</v>
      </c>
      <c r="K22" s="7">
        <v>40688.75</v>
      </c>
      <c r="L22" s="7">
        <v>38568</v>
      </c>
      <c r="M22" s="7">
        <v>35450.5</v>
      </c>
      <c r="N22" s="25">
        <v>42306</v>
      </c>
      <c r="O22" s="30">
        <v>40501.5</v>
      </c>
      <c r="P22" s="18">
        <f>SUM(D22:O22)</f>
        <v>457530.5</v>
      </c>
    </row>
    <row r="23" spans="1:16" ht="24.95" customHeight="1">
      <c r="A23" s="286"/>
      <c r="B23" s="291"/>
      <c r="C23" s="2" t="s">
        <v>21</v>
      </c>
      <c r="D23" s="7">
        <v>1123.5</v>
      </c>
      <c r="E23" s="8">
        <v>1636.5</v>
      </c>
      <c r="F23" s="8">
        <v>986.75</v>
      </c>
      <c r="G23" s="7">
        <v>688.75</v>
      </c>
      <c r="H23" s="7">
        <v>1018</v>
      </c>
      <c r="I23" s="7">
        <v>1093</v>
      </c>
      <c r="J23" s="7">
        <v>810</v>
      </c>
      <c r="K23" s="7">
        <v>580.5</v>
      </c>
      <c r="L23" s="7">
        <v>1153.75</v>
      </c>
      <c r="M23" s="7">
        <v>995.5</v>
      </c>
      <c r="N23" s="25">
        <v>949</v>
      </c>
      <c r="O23" s="30">
        <v>312.75</v>
      </c>
      <c r="P23" s="18">
        <f>SUM(D23:O23)</f>
        <v>11348</v>
      </c>
    </row>
    <row r="24" spans="1:16" ht="24.95" customHeight="1">
      <c r="A24" s="281" t="s">
        <v>29</v>
      </c>
      <c r="B24" s="282"/>
      <c r="C24" s="283"/>
      <c r="D24" s="9">
        <v>126602</v>
      </c>
      <c r="E24" s="9">
        <v>103292</v>
      </c>
      <c r="F24" s="9">
        <v>122901</v>
      </c>
      <c r="G24" s="9">
        <v>143246</v>
      </c>
      <c r="H24" s="9">
        <v>121236</v>
      </c>
      <c r="I24" s="9">
        <v>119180</v>
      </c>
      <c r="J24" s="9">
        <v>128534</v>
      </c>
      <c r="K24" s="9">
        <v>104403</v>
      </c>
      <c r="L24" s="9">
        <v>94251</v>
      </c>
      <c r="M24" s="23">
        <v>121959</v>
      </c>
      <c r="N24" s="23">
        <v>112361</v>
      </c>
      <c r="O24" s="9">
        <v>131436</v>
      </c>
      <c r="P24" s="12">
        <f>SUM(D24:O24)</f>
        <v>1429401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7" spans="1:16">
      <c r="G27" s="20"/>
    </row>
  </sheetData>
  <mergeCells count="16">
    <mergeCell ref="A2:P3"/>
    <mergeCell ref="O5:P5"/>
    <mergeCell ref="A5:C6"/>
    <mergeCell ref="D5:N5"/>
    <mergeCell ref="A7:A9"/>
    <mergeCell ref="B7:C7"/>
    <mergeCell ref="B8:C8"/>
    <mergeCell ref="B9:C9"/>
    <mergeCell ref="A24:C24"/>
    <mergeCell ref="A10:A18"/>
    <mergeCell ref="B10:C10"/>
    <mergeCell ref="B11:B14"/>
    <mergeCell ref="B15:B18"/>
    <mergeCell ref="A19:N19"/>
    <mergeCell ref="A20:A23"/>
    <mergeCell ref="B20:B23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1.375" customWidth="1"/>
  </cols>
  <sheetData>
    <row r="2" spans="1:16" ht="16.5" customHeight="1">
      <c r="A2" s="294" t="s">
        <v>31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6"/>
    </row>
    <row r="3" spans="1:16" ht="16.5" customHeight="1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9"/>
    </row>
    <row r="4" spans="1:16">
      <c r="O4" s="15" t="s">
        <v>25</v>
      </c>
    </row>
    <row r="5" spans="1:16" ht="20.25">
      <c r="A5" s="300" t="s">
        <v>24</v>
      </c>
      <c r="B5" s="301"/>
      <c r="C5" s="302"/>
      <c r="D5" s="306" t="s">
        <v>32</v>
      </c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8"/>
    </row>
    <row r="6" spans="1:16">
      <c r="A6" s="303"/>
      <c r="B6" s="304"/>
      <c r="C6" s="30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310" t="s">
        <v>13</v>
      </c>
      <c r="B7" s="287" t="s">
        <v>14</v>
      </c>
      <c r="C7" s="288"/>
      <c r="D7" s="9">
        <f t="shared" ref="D7:I7" si="0">D8+D9</f>
        <v>1549</v>
      </c>
      <c r="E7" s="9">
        <f t="shared" si="0"/>
        <v>1377</v>
      </c>
      <c r="F7" s="9">
        <f t="shared" si="0"/>
        <v>1531</v>
      </c>
      <c r="G7" s="9">
        <f t="shared" si="0"/>
        <v>1493</v>
      </c>
      <c r="H7" s="9">
        <f t="shared" si="0"/>
        <v>1413</v>
      </c>
      <c r="I7" s="9">
        <f t="shared" si="0"/>
        <v>1342</v>
      </c>
      <c r="J7" s="9">
        <f t="shared" ref="J7:K7" si="1">J8+J9</f>
        <v>1383</v>
      </c>
      <c r="K7" s="9">
        <f t="shared" si="1"/>
        <v>1354</v>
      </c>
      <c r="L7" s="9">
        <f t="shared" ref="L7:M7" si="2">L8+L9</f>
        <v>1521</v>
      </c>
      <c r="M7" s="9">
        <f t="shared" si="2"/>
        <v>1526</v>
      </c>
      <c r="N7" s="9">
        <f t="shared" ref="N7:O7" si="3">N8+N9</f>
        <v>1443</v>
      </c>
      <c r="O7" s="9">
        <f t="shared" si="3"/>
        <v>1477</v>
      </c>
      <c r="P7" s="9">
        <f>SUM(D7:O7)</f>
        <v>17409</v>
      </c>
    </row>
    <row r="8" spans="1:16" ht="24.95" customHeight="1">
      <c r="A8" s="311"/>
      <c r="B8" s="313" t="s">
        <v>15</v>
      </c>
      <c r="C8" s="314"/>
      <c r="D8" s="7">
        <v>927</v>
      </c>
      <c r="E8" s="7">
        <v>819</v>
      </c>
      <c r="F8" s="7">
        <v>951</v>
      </c>
      <c r="G8" s="7">
        <v>941</v>
      </c>
      <c r="H8" s="17">
        <v>856</v>
      </c>
      <c r="I8" s="17">
        <v>756</v>
      </c>
      <c r="J8" s="17">
        <v>778</v>
      </c>
      <c r="K8" s="17">
        <v>770</v>
      </c>
      <c r="L8" s="17">
        <v>849</v>
      </c>
      <c r="M8" s="17">
        <v>846</v>
      </c>
      <c r="N8" s="17">
        <v>806</v>
      </c>
      <c r="O8" s="17">
        <v>884</v>
      </c>
      <c r="P8" s="18">
        <f t="shared" ref="P8:P9" si="4">SUM(D8:O8)</f>
        <v>10183</v>
      </c>
    </row>
    <row r="9" spans="1:16" ht="24.95" customHeight="1">
      <c r="A9" s="312"/>
      <c r="B9" s="313" t="s">
        <v>16</v>
      </c>
      <c r="C9" s="314"/>
      <c r="D9" s="7">
        <v>622</v>
      </c>
      <c r="E9" s="7">
        <v>558</v>
      </c>
      <c r="F9" s="7">
        <v>580</v>
      </c>
      <c r="G9" s="7">
        <v>552</v>
      </c>
      <c r="H9" s="17">
        <v>557</v>
      </c>
      <c r="I9" s="17">
        <v>586</v>
      </c>
      <c r="J9" s="17">
        <v>605</v>
      </c>
      <c r="K9" s="17">
        <v>584</v>
      </c>
      <c r="L9" s="17">
        <v>672</v>
      </c>
      <c r="M9" s="17">
        <v>680</v>
      </c>
      <c r="N9" s="17">
        <v>637</v>
      </c>
      <c r="O9" s="17">
        <v>593</v>
      </c>
      <c r="P9" s="18">
        <f t="shared" si="4"/>
        <v>7226</v>
      </c>
    </row>
    <row r="10" spans="1:16" ht="24.95" customHeight="1">
      <c r="A10" s="284" t="s">
        <v>17</v>
      </c>
      <c r="B10" s="287" t="s">
        <v>12</v>
      </c>
      <c r="C10" s="288"/>
      <c r="D10" s="11">
        <f t="shared" ref="D10:I10" si="5">D11+D15</f>
        <v>9863629</v>
      </c>
      <c r="E10" s="11">
        <f t="shared" si="5"/>
        <v>9005708</v>
      </c>
      <c r="F10" s="11">
        <f t="shared" si="5"/>
        <v>9093754</v>
      </c>
      <c r="G10" s="11">
        <f t="shared" si="5"/>
        <v>9621467</v>
      </c>
      <c r="H10" s="11">
        <f t="shared" si="5"/>
        <v>8089753</v>
      </c>
      <c r="I10" s="11">
        <f t="shared" si="5"/>
        <v>7667690</v>
      </c>
      <c r="J10" s="11">
        <f t="shared" ref="J10:K10" si="6">J11+J15</f>
        <v>8227133</v>
      </c>
      <c r="K10" s="11">
        <f t="shared" si="6"/>
        <v>7404334</v>
      </c>
      <c r="L10" s="11">
        <f t="shared" ref="L10:M10" si="7">L11+L15</f>
        <v>8892234</v>
      </c>
      <c r="M10" s="11">
        <f t="shared" si="7"/>
        <v>10106202</v>
      </c>
      <c r="N10" s="11">
        <f t="shared" ref="N10:O10" si="8">N11+N15</f>
        <v>9463490</v>
      </c>
      <c r="O10" s="11">
        <f t="shared" si="8"/>
        <v>9411615</v>
      </c>
      <c r="P10" s="11">
        <f>SUM(D10:O10)</f>
        <v>106847009</v>
      </c>
    </row>
    <row r="11" spans="1:16" ht="24.95" customHeight="1">
      <c r="A11" s="285"/>
      <c r="B11" s="289" t="s">
        <v>15</v>
      </c>
      <c r="C11" s="13" t="s">
        <v>18</v>
      </c>
      <c r="D11" s="14">
        <f t="shared" ref="D11:I11" si="9">SUM(D12:D14)</f>
        <v>8943055</v>
      </c>
      <c r="E11" s="14">
        <f t="shared" si="9"/>
        <v>8097023</v>
      </c>
      <c r="F11" s="14">
        <f t="shared" si="9"/>
        <v>8094612</v>
      </c>
      <c r="G11" s="14">
        <f t="shared" si="9"/>
        <v>8750571</v>
      </c>
      <c r="H11" s="14">
        <f t="shared" si="9"/>
        <v>7144812</v>
      </c>
      <c r="I11" s="14">
        <f t="shared" si="9"/>
        <v>6827900</v>
      </c>
      <c r="J11" s="14">
        <f t="shared" ref="J11:K11" si="10">SUM(J12:J14)</f>
        <v>7291086</v>
      </c>
      <c r="K11" s="14">
        <f t="shared" si="10"/>
        <v>6506416</v>
      </c>
      <c r="L11" s="14">
        <f t="shared" ref="L11:M11" si="11">SUM(L12:L14)</f>
        <v>7976123</v>
      </c>
      <c r="M11" s="14">
        <f t="shared" si="11"/>
        <v>9049095</v>
      </c>
      <c r="N11" s="14">
        <f t="shared" ref="N11:O11" si="12">SUM(N12:N14)</f>
        <v>8454135</v>
      </c>
      <c r="O11" s="14">
        <f t="shared" si="12"/>
        <v>8531173</v>
      </c>
      <c r="P11" s="19">
        <f t="shared" ref="P11:P18" si="13">SUM(D11:O11)</f>
        <v>95666001</v>
      </c>
    </row>
    <row r="12" spans="1:16" ht="24.95" customHeight="1">
      <c r="A12" s="285"/>
      <c r="B12" s="290"/>
      <c r="C12" s="2" t="s">
        <v>19</v>
      </c>
      <c r="D12" s="4">
        <v>7190213</v>
      </c>
      <c r="E12" s="4">
        <v>6607382</v>
      </c>
      <c r="F12" s="4">
        <v>6472316</v>
      </c>
      <c r="G12" s="4">
        <v>7014170</v>
      </c>
      <c r="H12" s="4">
        <v>5931640</v>
      </c>
      <c r="I12" s="4">
        <v>5582630</v>
      </c>
      <c r="J12" s="4">
        <v>5627205</v>
      </c>
      <c r="K12" s="4">
        <v>5051701</v>
      </c>
      <c r="L12" s="4">
        <v>6186099</v>
      </c>
      <c r="M12" s="4">
        <v>7223964</v>
      </c>
      <c r="N12" s="4">
        <v>6547226</v>
      </c>
      <c r="O12" s="4">
        <v>7005281</v>
      </c>
      <c r="P12" s="19">
        <f t="shared" si="13"/>
        <v>76439827</v>
      </c>
    </row>
    <row r="13" spans="1:16" ht="24.95" customHeight="1">
      <c r="A13" s="285"/>
      <c r="B13" s="290"/>
      <c r="C13" s="2" t="s">
        <v>20</v>
      </c>
      <c r="D13" s="4">
        <v>1261415</v>
      </c>
      <c r="E13" s="4">
        <v>1031518</v>
      </c>
      <c r="F13" s="4">
        <v>1192144</v>
      </c>
      <c r="G13" s="4">
        <v>1210680</v>
      </c>
      <c r="H13" s="4">
        <v>895228</v>
      </c>
      <c r="I13" s="4">
        <v>991831</v>
      </c>
      <c r="J13" s="4">
        <v>1272761</v>
      </c>
      <c r="K13" s="4">
        <v>1083096</v>
      </c>
      <c r="L13" s="4">
        <v>1274592</v>
      </c>
      <c r="M13" s="4">
        <v>1292876</v>
      </c>
      <c r="N13" s="4">
        <v>1358049</v>
      </c>
      <c r="O13" s="4">
        <v>1082221</v>
      </c>
      <c r="P13" s="19">
        <f t="shared" si="13"/>
        <v>13946411</v>
      </c>
    </row>
    <row r="14" spans="1:16" ht="24.95" customHeight="1">
      <c r="A14" s="285"/>
      <c r="B14" s="291"/>
      <c r="C14" s="2" t="s">
        <v>21</v>
      </c>
      <c r="D14" s="4">
        <v>491427</v>
      </c>
      <c r="E14" s="4">
        <v>458123</v>
      </c>
      <c r="F14" s="4">
        <v>430152</v>
      </c>
      <c r="G14" s="4">
        <v>525721</v>
      </c>
      <c r="H14" s="4">
        <v>317944</v>
      </c>
      <c r="I14" s="4">
        <v>253439</v>
      </c>
      <c r="J14" s="4">
        <v>391120</v>
      </c>
      <c r="K14" s="4">
        <v>371619</v>
      </c>
      <c r="L14" s="4">
        <v>515432</v>
      </c>
      <c r="M14" s="4">
        <v>532255</v>
      </c>
      <c r="N14" s="4">
        <v>548860</v>
      </c>
      <c r="O14" s="4">
        <v>443671</v>
      </c>
      <c r="P14" s="19">
        <f t="shared" si="13"/>
        <v>5279763</v>
      </c>
    </row>
    <row r="15" spans="1:16" ht="24.95" customHeight="1">
      <c r="A15" s="285"/>
      <c r="B15" s="289" t="s">
        <v>22</v>
      </c>
      <c r="C15" s="13" t="s">
        <v>18</v>
      </c>
      <c r="D15" s="14">
        <f>SUM(D16:D17)</f>
        <v>920574</v>
      </c>
      <c r="E15" s="14">
        <f t="shared" ref="E15:J15" si="14">SUM(E16:E18)</f>
        <v>908685</v>
      </c>
      <c r="F15" s="14">
        <f t="shared" si="14"/>
        <v>999142</v>
      </c>
      <c r="G15" s="14">
        <f t="shared" si="14"/>
        <v>870896</v>
      </c>
      <c r="H15" s="14">
        <f t="shared" si="14"/>
        <v>944941</v>
      </c>
      <c r="I15" s="14">
        <f t="shared" si="14"/>
        <v>839790</v>
      </c>
      <c r="J15" s="14">
        <f t="shared" si="14"/>
        <v>936047</v>
      </c>
      <c r="K15" s="14">
        <f t="shared" ref="K15:L15" si="15">SUM(K16:K18)</f>
        <v>897918</v>
      </c>
      <c r="L15" s="14">
        <f t="shared" si="15"/>
        <v>916111</v>
      </c>
      <c r="M15" s="14">
        <f t="shared" ref="M15:N15" si="16">SUM(M16:M18)</f>
        <v>1057107</v>
      </c>
      <c r="N15" s="14">
        <f t="shared" si="16"/>
        <v>1009355</v>
      </c>
      <c r="O15" s="14">
        <f t="shared" ref="O15" si="17">SUM(O16:O18)</f>
        <v>880442</v>
      </c>
      <c r="P15" s="19">
        <f t="shared" si="13"/>
        <v>11181008</v>
      </c>
    </row>
    <row r="16" spans="1:16" ht="24.95" customHeight="1">
      <c r="A16" s="285"/>
      <c r="B16" s="290"/>
      <c r="C16" s="2" t="s">
        <v>27</v>
      </c>
      <c r="D16" s="4">
        <v>641282</v>
      </c>
      <c r="E16" s="4">
        <v>640962</v>
      </c>
      <c r="F16" s="4">
        <v>732314</v>
      </c>
      <c r="G16" s="4">
        <v>626982</v>
      </c>
      <c r="H16" s="4">
        <v>676566</v>
      </c>
      <c r="I16" s="4">
        <v>620299</v>
      </c>
      <c r="J16" s="4">
        <v>652349</v>
      </c>
      <c r="K16" s="4">
        <v>640436</v>
      </c>
      <c r="L16" s="4">
        <v>613028</v>
      </c>
      <c r="M16" s="4">
        <v>761553</v>
      </c>
      <c r="N16" s="4">
        <v>785456</v>
      </c>
      <c r="O16" s="4">
        <v>632340</v>
      </c>
      <c r="P16" s="19">
        <f t="shared" si="13"/>
        <v>8023567</v>
      </c>
    </row>
    <row r="17" spans="1:16" ht="24.95" customHeight="1">
      <c r="A17" s="285"/>
      <c r="B17" s="290"/>
      <c r="C17" s="2" t="s">
        <v>28</v>
      </c>
      <c r="D17" s="4">
        <v>279292</v>
      </c>
      <c r="E17" s="4">
        <v>267723</v>
      </c>
      <c r="F17" s="4">
        <v>263000</v>
      </c>
      <c r="G17" s="4">
        <v>243914</v>
      </c>
      <c r="H17" s="4">
        <v>266142</v>
      </c>
      <c r="I17" s="4">
        <v>216972</v>
      </c>
      <c r="J17" s="4">
        <v>283698</v>
      </c>
      <c r="K17" s="4">
        <v>257482</v>
      </c>
      <c r="L17" s="4">
        <v>303083</v>
      </c>
      <c r="M17" s="4">
        <v>295554</v>
      </c>
      <c r="N17" s="4">
        <v>223899</v>
      </c>
      <c r="O17" s="4">
        <v>248102</v>
      </c>
      <c r="P17" s="19">
        <f t="shared" si="13"/>
        <v>3148861</v>
      </c>
    </row>
    <row r="18" spans="1:16" ht="24.95" customHeight="1">
      <c r="A18" s="286"/>
      <c r="B18" s="291"/>
      <c r="C18" s="2" t="s">
        <v>21</v>
      </c>
      <c r="D18" s="3">
        <v>341</v>
      </c>
      <c r="E18" s="5">
        <v>0</v>
      </c>
      <c r="F18" s="4">
        <v>3828</v>
      </c>
      <c r="G18" s="5">
        <v>0</v>
      </c>
      <c r="H18" s="4">
        <v>2233</v>
      </c>
      <c r="I18" s="4">
        <v>2519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19">
        <f t="shared" si="13"/>
        <v>8921</v>
      </c>
    </row>
    <row r="19" spans="1:16" ht="24.95" customHeight="1">
      <c r="A19" s="292" t="s">
        <v>26</v>
      </c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293"/>
    </row>
    <row r="20" spans="1:16" ht="24.95" customHeight="1">
      <c r="A20" s="284" t="s">
        <v>23</v>
      </c>
      <c r="B20" s="289" t="s">
        <v>15</v>
      </c>
      <c r="C20" s="10" t="s">
        <v>30</v>
      </c>
      <c r="D20" s="9">
        <f t="shared" ref="D20:I20" si="18">SUM(D21:D23)</f>
        <v>58037</v>
      </c>
      <c r="E20" s="12">
        <f t="shared" si="18"/>
        <v>36925</v>
      </c>
      <c r="F20" s="9">
        <f t="shared" si="18"/>
        <v>64714</v>
      </c>
      <c r="G20" s="9">
        <f t="shared" si="18"/>
        <v>69831</v>
      </c>
      <c r="H20" s="9">
        <f t="shared" si="18"/>
        <v>66398</v>
      </c>
      <c r="I20" s="9">
        <f t="shared" si="18"/>
        <v>68224</v>
      </c>
      <c r="J20" s="9">
        <f t="shared" ref="J20:K20" si="19">SUM(J21:J23)</f>
        <v>72609</v>
      </c>
      <c r="K20" s="9">
        <f t="shared" si="19"/>
        <v>63879</v>
      </c>
      <c r="L20" s="9">
        <f t="shared" ref="L20:M20" si="20">SUM(L21:L23)</f>
        <v>72566</v>
      </c>
      <c r="M20" s="9">
        <f t="shared" si="20"/>
        <v>68187</v>
      </c>
      <c r="N20" s="9">
        <f t="shared" ref="N20:O20" si="21">SUM(N21:N23)</f>
        <v>77302</v>
      </c>
      <c r="O20" s="9">
        <f t="shared" si="21"/>
        <v>73971.25</v>
      </c>
      <c r="P20" s="9">
        <f>SUM(D20:O20)</f>
        <v>792643.25</v>
      </c>
    </row>
    <row r="21" spans="1:16" ht="24.95" customHeight="1">
      <c r="A21" s="285"/>
      <c r="B21" s="290"/>
      <c r="C21" s="2" t="s">
        <v>19</v>
      </c>
      <c r="D21" s="7">
        <v>30331</v>
      </c>
      <c r="E21" s="8">
        <v>15793</v>
      </c>
      <c r="F21" s="7">
        <v>32380</v>
      </c>
      <c r="G21" s="7">
        <v>34887</v>
      </c>
      <c r="H21" s="7">
        <v>33487</v>
      </c>
      <c r="I21" s="7">
        <v>32589</v>
      </c>
      <c r="J21" s="7">
        <v>33927</v>
      </c>
      <c r="K21" s="7">
        <v>32088</v>
      </c>
      <c r="L21" s="7">
        <v>36611</v>
      </c>
      <c r="M21" s="7">
        <v>33786</v>
      </c>
      <c r="N21" s="7">
        <v>38475</v>
      </c>
      <c r="O21" s="7">
        <v>36775.25</v>
      </c>
      <c r="P21" s="18">
        <f t="shared" ref="P21:P23" si="22">SUM(D21:O21)</f>
        <v>391129.25</v>
      </c>
    </row>
    <row r="22" spans="1:16" ht="24.95" customHeight="1">
      <c r="A22" s="285"/>
      <c r="B22" s="290"/>
      <c r="C22" s="2" t="s">
        <v>20</v>
      </c>
      <c r="D22" s="7">
        <v>26322</v>
      </c>
      <c r="E22" s="8">
        <v>20801</v>
      </c>
      <c r="F22" s="7">
        <v>30687</v>
      </c>
      <c r="G22" s="7">
        <v>33026</v>
      </c>
      <c r="H22" s="7">
        <v>32247</v>
      </c>
      <c r="I22" s="7">
        <v>34949</v>
      </c>
      <c r="J22" s="7">
        <v>37893</v>
      </c>
      <c r="K22" s="7">
        <v>31143</v>
      </c>
      <c r="L22" s="7">
        <v>35129</v>
      </c>
      <c r="M22" s="7">
        <v>33402</v>
      </c>
      <c r="N22" s="7">
        <v>37835</v>
      </c>
      <c r="O22" s="7">
        <v>36200.25</v>
      </c>
      <c r="P22" s="18">
        <f t="shared" si="22"/>
        <v>389634.25</v>
      </c>
    </row>
    <row r="23" spans="1:16" ht="24.95" customHeight="1">
      <c r="A23" s="286"/>
      <c r="B23" s="291"/>
      <c r="C23" s="2" t="s">
        <v>21</v>
      </c>
      <c r="D23" s="7">
        <v>1384</v>
      </c>
      <c r="E23" s="8">
        <v>331</v>
      </c>
      <c r="F23" s="7">
        <v>1647</v>
      </c>
      <c r="G23" s="7">
        <v>1918</v>
      </c>
      <c r="H23" s="7">
        <v>664</v>
      </c>
      <c r="I23" s="7">
        <v>686</v>
      </c>
      <c r="J23" s="7">
        <v>789</v>
      </c>
      <c r="K23" s="7">
        <v>648</v>
      </c>
      <c r="L23" s="7">
        <v>826</v>
      </c>
      <c r="M23" s="7">
        <v>999</v>
      </c>
      <c r="N23" s="7">
        <v>992</v>
      </c>
      <c r="O23" s="7">
        <v>995.75</v>
      </c>
      <c r="P23" s="18">
        <f t="shared" si="22"/>
        <v>11879.75</v>
      </c>
    </row>
    <row r="24" spans="1:16" ht="24.95" customHeight="1">
      <c r="A24" s="281" t="s">
        <v>29</v>
      </c>
      <c r="B24" s="282"/>
      <c r="C24" s="283"/>
      <c r="D24" s="9">
        <v>104568</v>
      </c>
      <c r="E24" s="9">
        <v>90987</v>
      </c>
      <c r="F24" s="9">
        <v>121045</v>
      </c>
      <c r="G24" s="9">
        <v>116439</v>
      </c>
      <c r="H24" s="9">
        <v>63462</v>
      </c>
      <c r="I24" s="9">
        <v>70020</v>
      </c>
      <c r="J24" s="9">
        <v>103109</v>
      </c>
      <c r="K24" s="9">
        <v>81046</v>
      </c>
      <c r="L24" s="9">
        <v>132368</v>
      </c>
      <c r="M24" s="9">
        <v>126992</v>
      </c>
      <c r="N24" s="9">
        <v>139325</v>
      </c>
      <c r="O24" s="9">
        <v>110767</v>
      </c>
      <c r="P24" s="12">
        <f>SUM(D24:O24)</f>
        <v>1260128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5:C6"/>
    <mergeCell ref="B7:C7"/>
    <mergeCell ref="B8:C8"/>
    <mergeCell ref="D5:P5"/>
    <mergeCell ref="A2:P3"/>
    <mergeCell ref="B9:C9"/>
    <mergeCell ref="B10:C10"/>
    <mergeCell ref="A24:C24"/>
    <mergeCell ref="A7:A9"/>
    <mergeCell ref="A10:A18"/>
    <mergeCell ref="B11:B14"/>
    <mergeCell ref="B15:B18"/>
    <mergeCell ref="A20:A23"/>
    <mergeCell ref="B20:B23"/>
    <mergeCell ref="A19:P1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50" orientation="landscape" r:id="rId1"/>
  <ignoredErrors>
    <ignoredError sqref="D15 D20:H20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P25"/>
  <sheetViews>
    <sheetView workbookViewId="0">
      <selection activeCell="A2" sqref="A2:P3"/>
    </sheetView>
  </sheetViews>
  <sheetFormatPr defaultRowHeight="16.5"/>
  <cols>
    <col min="4" max="15" width="10.625" customWidth="1"/>
    <col min="16" max="16" width="12.25" customWidth="1"/>
  </cols>
  <sheetData>
    <row r="2" spans="1:16" ht="16.5" customHeight="1">
      <c r="A2" s="294" t="s">
        <v>35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6"/>
    </row>
    <row r="3" spans="1:16" ht="16.5" customHeight="1">
      <c r="A3" s="297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9"/>
    </row>
    <row r="4" spans="1:16">
      <c r="O4" s="15" t="s">
        <v>25</v>
      </c>
    </row>
    <row r="5" spans="1:16" ht="20.25">
      <c r="A5" s="300" t="s">
        <v>24</v>
      </c>
      <c r="B5" s="301"/>
      <c r="C5" s="302"/>
      <c r="D5" s="306" t="s">
        <v>34</v>
      </c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8"/>
    </row>
    <row r="6" spans="1:16">
      <c r="A6" s="303"/>
      <c r="B6" s="304"/>
      <c r="C6" s="305"/>
      <c r="D6" s="16" t="s">
        <v>0</v>
      </c>
      <c r="E6" s="1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33</v>
      </c>
    </row>
    <row r="7" spans="1:16" ht="24.95" customHeight="1">
      <c r="A7" s="284" t="s">
        <v>13</v>
      </c>
      <c r="B7" s="287" t="s">
        <v>14</v>
      </c>
      <c r="C7" s="288"/>
      <c r="D7" s="9">
        <f t="shared" ref="D7:I7" si="0">D8+D9</f>
        <v>1679</v>
      </c>
      <c r="E7" s="9">
        <f t="shared" si="0"/>
        <v>1314</v>
      </c>
      <c r="F7" s="9">
        <f t="shared" si="0"/>
        <v>1525</v>
      </c>
      <c r="G7" s="9">
        <f t="shared" si="0"/>
        <v>1643</v>
      </c>
      <c r="H7" s="9">
        <f t="shared" si="0"/>
        <v>1607</v>
      </c>
      <c r="I7" s="9">
        <f t="shared" si="0"/>
        <v>1479</v>
      </c>
      <c r="J7" s="9">
        <f t="shared" ref="J7:K7" si="1">J8+J9</f>
        <v>1509</v>
      </c>
      <c r="K7" s="9">
        <f t="shared" si="1"/>
        <v>1512</v>
      </c>
      <c r="L7" s="9">
        <f t="shared" ref="L7:M7" si="2">L8+L9</f>
        <v>1372</v>
      </c>
      <c r="M7" s="9">
        <f t="shared" si="2"/>
        <v>1636</v>
      </c>
      <c r="N7" s="9">
        <f t="shared" ref="N7:O7" si="3">N8+N9</f>
        <v>1630</v>
      </c>
      <c r="O7" s="9">
        <f t="shared" si="3"/>
        <v>1510</v>
      </c>
      <c r="P7" s="9">
        <f>SUM(D7:O7)</f>
        <v>18416</v>
      </c>
    </row>
    <row r="8" spans="1:16" ht="24.95" customHeight="1">
      <c r="A8" s="285"/>
      <c r="B8" s="313" t="s">
        <v>15</v>
      </c>
      <c r="C8" s="314"/>
      <c r="D8" s="7">
        <v>1059</v>
      </c>
      <c r="E8" s="7">
        <v>810</v>
      </c>
      <c r="F8" s="7">
        <v>966</v>
      </c>
      <c r="G8" s="7">
        <v>1042</v>
      </c>
      <c r="H8" s="7">
        <v>1001</v>
      </c>
      <c r="I8" s="17">
        <v>935</v>
      </c>
      <c r="J8" s="17">
        <v>938</v>
      </c>
      <c r="K8" s="17">
        <v>955</v>
      </c>
      <c r="L8" s="17">
        <v>898</v>
      </c>
      <c r="M8" s="7">
        <v>1022</v>
      </c>
      <c r="N8" s="7">
        <v>940</v>
      </c>
      <c r="O8" s="7">
        <v>959</v>
      </c>
      <c r="P8" s="7">
        <f>SUM(D8:O8)</f>
        <v>11525</v>
      </c>
    </row>
    <row r="9" spans="1:16" ht="24.95" customHeight="1">
      <c r="A9" s="286"/>
      <c r="B9" s="313" t="s">
        <v>16</v>
      </c>
      <c r="C9" s="314"/>
      <c r="D9" s="7">
        <v>620</v>
      </c>
      <c r="E9" s="7">
        <v>504</v>
      </c>
      <c r="F9" s="7">
        <v>559</v>
      </c>
      <c r="G9" s="7">
        <v>601</v>
      </c>
      <c r="H9" s="7">
        <v>606</v>
      </c>
      <c r="I9" s="17">
        <v>544</v>
      </c>
      <c r="J9" s="17">
        <v>571</v>
      </c>
      <c r="K9" s="17">
        <v>557</v>
      </c>
      <c r="L9" s="17">
        <v>474</v>
      </c>
      <c r="M9" s="17">
        <v>614</v>
      </c>
      <c r="N9" s="17">
        <v>690</v>
      </c>
      <c r="O9" s="17">
        <v>551</v>
      </c>
      <c r="P9" s="7">
        <f>SUM(D9:O9)</f>
        <v>6891</v>
      </c>
    </row>
    <row r="10" spans="1:16" ht="24.95" customHeight="1">
      <c r="A10" s="284" t="s">
        <v>17</v>
      </c>
      <c r="B10" s="287" t="s">
        <v>12</v>
      </c>
      <c r="C10" s="288"/>
      <c r="D10" s="11">
        <f t="shared" ref="D10:I10" si="4">D11+D15</f>
        <v>10102479</v>
      </c>
      <c r="E10" s="11">
        <f t="shared" si="4"/>
        <v>7948214</v>
      </c>
      <c r="F10" s="11">
        <f t="shared" si="4"/>
        <v>8510616</v>
      </c>
      <c r="G10" s="11">
        <f t="shared" si="4"/>
        <v>9667713</v>
      </c>
      <c r="H10" s="11">
        <f t="shared" si="4"/>
        <v>10069283</v>
      </c>
      <c r="I10" s="11">
        <f t="shared" si="4"/>
        <v>9463641</v>
      </c>
      <c r="J10" s="11">
        <f t="shared" ref="J10:K10" si="5">J11+J15</f>
        <v>9170517</v>
      </c>
      <c r="K10" s="11">
        <f t="shared" si="5"/>
        <v>10172845</v>
      </c>
      <c r="L10" s="11">
        <f t="shared" ref="L10:M10" si="6">L11+L15</f>
        <v>8647976</v>
      </c>
      <c r="M10" s="11">
        <f t="shared" si="6"/>
        <v>9786558</v>
      </c>
      <c r="N10" s="11">
        <f t="shared" ref="N10:O10" si="7">N11+N15</f>
        <v>9904701</v>
      </c>
      <c r="O10" s="11">
        <f t="shared" si="7"/>
        <v>9756788</v>
      </c>
      <c r="P10" s="11">
        <f>SUM(D10:O10)</f>
        <v>113201331</v>
      </c>
    </row>
    <row r="11" spans="1:16" ht="24.95" customHeight="1">
      <c r="A11" s="285"/>
      <c r="B11" s="289" t="s">
        <v>15</v>
      </c>
      <c r="C11" s="13" t="s">
        <v>18</v>
      </c>
      <c r="D11" s="14">
        <f t="shared" ref="D11:I11" si="8">SUM(D12:D14)</f>
        <v>9069043</v>
      </c>
      <c r="E11" s="14">
        <f t="shared" si="8"/>
        <v>7086400</v>
      </c>
      <c r="F11" s="14">
        <f t="shared" si="8"/>
        <v>7811264</v>
      </c>
      <c r="G11" s="14">
        <f t="shared" si="8"/>
        <v>8961016</v>
      </c>
      <c r="H11" s="14">
        <f t="shared" si="8"/>
        <v>9129521</v>
      </c>
      <c r="I11" s="14">
        <f t="shared" si="8"/>
        <v>8546315</v>
      </c>
      <c r="J11" s="14">
        <f t="shared" ref="J11:K11" si="9">SUM(J12:J14)</f>
        <v>8232041</v>
      </c>
      <c r="K11" s="14">
        <f t="shared" si="9"/>
        <v>9158550</v>
      </c>
      <c r="L11" s="14">
        <f t="shared" ref="L11:M11" si="10">SUM(L12:L14)</f>
        <v>7896131</v>
      </c>
      <c r="M11" s="14">
        <f t="shared" si="10"/>
        <v>8793082</v>
      </c>
      <c r="N11" s="14">
        <f t="shared" ref="N11:O11" si="11">SUM(N12:N14)</f>
        <v>9036141</v>
      </c>
      <c r="O11" s="14">
        <f t="shared" si="11"/>
        <v>8889730</v>
      </c>
      <c r="P11" s="14">
        <f>SUM(D11:O11)</f>
        <v>102609234</v>
      </c>
    </row>
    <row r="12" spans="1:16" ht="24.95" customHeight="1">
      <c r="A12" s="285"/>
      <c r="B12" s="290"/>
      <c r="C12" s="2" t="s">
        <v>19</v>
      </c>
      <c r="D12" s="4">
        <v>7213456</v>
      </c>
      <c r="E12" s="4">
        <v>5596917</v>
      </c>
      <c r="F12" s="4">
        <v>5726501</v>
      </c>
      <c r="G12" s="4">
        <v>6832137</v>
      </c>
      <c r="H12" s="4">
        <v>7284812</v>
      </c>
      <c r="I12" s="4">
        <v>6669209</v>
      </c>
      <c r="J12" s="4">
        <v>6363396</v>
      </c>
      <c r="K12" s="4">
        <v>7285920</v>
      </c>
      <c r="L12" s="4">
        <v>6215611</v>
      </c>
      <c r="M12" s="4">
        <v>6831271</v>
      </c>
      <c r="N12" s="4">
        <v>7285616</v>
      </c>
      <c r="O12" s="4">
        <v>7232543</v>
      </c>
      <c r="P12" s="4">
        <f t="shared" ref="P12:P14" si="12">SUM(D12:O12)</f>
        <v>80537389</v>
      </c>
    </row>
    <row r="13" spans="1:16" ht="24.95" customHeight="1">
      <c r="A13" s="285"/>
      <c r="B13" s="290"/>
      <c r="C13" s="2" t="s">
        <v>20</v>
      </c>
      <c r="D13" s="4">
        <v>1375106</v>
      </c>
      <c r="E13" s="4">
        <v>1090829</v>
      </c>
      <c r="F13" s="4">
        <v>1552336</v>
      </c>
      <c r="G13" s="4">
        <v>1579205</v>
      </c>
      <c r="H13" s="4">
        <v>1272392</v>
      </c>
      <c r="I13" s="4">
        <v>1337189</v>
      </c>
      <c r="J13" s="4">
        <v>1298737</v>
      </c>
      <c r="K13" s="4">
        <v>1213043</v>
      </c>
      <c r="L13" s="4">
        <v>1166884</v>
      </c>
      <c r="M13" s="4">
        <v>1345742</v>
      </c>
      <c r="N13" s="4">
        <v>1286406</v>
      </c>
      <c r="O13" s="4">
        <v>1225837</v>
      </c>
      <c r="P13" s="4">
        <f t="shared" si="12"/>
        <v>15743706</v>
      </c>
    </row>
    <row r="14" spans="1:16" ht="24.95" customHeight="1">
      <c r="A14" s="285"/>
      <c r="B14" s="291"/>
      <c r="C14" s="2" t="s">
        <v>21</v>
      </c>
      <c r="D14" s="4">
        <v>480481</v>
      </c>
      <c r="E14" s="4">
        <v>398654</v>
      </c>
      <c r="F14" s="4">
        <v>532427</v>
      </c>
      <c r="G14" s="4">
        <v>549674</v>
      </c>
      <c r="H14" s="4">
        <v>572317</v>
      </c>
      <c r="I14" s="4">
        <v>539917</v>
      </c>
      <c r="J14" s="4">
        <v>569908</v>
      </c>
      <c r="K14" s="4">
        <v>659587</v>
      </c>
      <c r="L14" s="4">
        <v>513636</v>
      </c>
      <c r="M14" s="4">
        <v>616069</v>
      </c>
      <c r="N14" s="4">
        <v>464119</v>
      </c>
      <c r="O14" s="4">
        <v>431350</v>
      </c>
      <c r="P14" s="4">
        <f t="shared" si="12"/>
        <v>6328139</v>
      </c>
    </row>
    <row r="15" spans="1:16" ht="24.95" customHeight="1">
      <c r="A15" s="285"/>
      <c r="B15" s="289" t="s">
        <v>22</v>
      </c>
      <c r="C15" s="13" t="s">
        <v>18</v>
      </c>
      <c r="D15" s="14">
        <f>SUM(D16:D17)</f>
        <v>1033436</v>
      </c>
      <c r="E15" s="14">
        <f t="shared" ref="E15:J15" si="13">SUM(E16:E18)</f>
        <v>861814</v>
      </c>
      <c r="F15" s="14">
        <f t="shared" si="13"/>
        <v>699352</v>
      </c>
      <c r="G15" s="14">
        <f t="shared" si="13"/>
        <v>706697</v>
      </c>
      <c r="H15" s="14">
        <f t="shared" si="13"/>
        <v>939762</v>
      </c>
      <c r="I15" s="14">
        <f t="shared" si="13"/>
        <v>917326</v>
      </c>
      <c r="J15" s="14">
        <f t="shared" si="13"/>
        <v>938476</v>
      </c>
      <c r="K15" s="14">
        <f t="shared" ref="K15:L15" si="14">SUM(K16:K18)</f>
        <v>1014295</v>
      </c>
      <c r="L15" s="14">
        <f t="shared" si="14"/>
        <v>751845</v>
      </c>
      <c r="M15" s="14">
        <f t="shared" ref="M15:N15" si="15">SUM(M16:M18)</f>
        <v>993476</v>
      </c>
      <c r="N15" s="14">
        <f t="shared" si="15"/>
        <v>868560</v>
      </c>
      <c r="O15" s="14">
        <f t="shared" ref="O15" si="16">SUM(O16:O18)</f>
        <v>867058</v>
      </c>
      <c r="P15" s="14">
        <f>SUM(D15:O15)</f>
        <v>10592097</v>
      </c>
    </row>
    <row r="16" spans="1:16" ht="24.95" customHeight="1">
      <c r="A16" s="285"/>
      <c r="B16" s="290"/>
      <c r="C16" s="2" t="s">
        <v>27</v>
      </c>
      <c r="D16" s="4">
        <v>740107</v>
      </c>
      <c r="E16" s="4">
        <v>618150</v>
      </c>
      <c r="F16" s="4">
        <v>473850</v>
      </c>
      <c r="G16" s="4">
        <v>456973</v>
      </c>
      <c r="H16" s="4">
        <v>674102</v>
      </c>
      <c r="I16" s="4">
        <v>645942</v>
      </c>
      <c r="J16" s="4">
        <v>659652</v>
      </c>
      <c r="K16" s="4">
        <v>705018</v>
      </c>
      <c r="L16" s="4">
        <v>508838</v>
      </c>
      <c r="M16" s="4">
        <v>748295</v>
      </c>
      <c r="N16" s="4">
        <v>622109</v>
      </c>
      <c r="O16" s="4">
        <v>646137</v>
      </c>
      <c r="P16" s="4">
        <f t="shared" ref="P16:P18" si="17">SUM(D16:O16)</f>
        <v>7499173</v>
      </c>
    </row>
    <row r="17" spans="1:16" ht="24.95" customHeight="1">
      <c r="A17" s="285"/>
      <c r="B17" s="290"/>
      <c r="C17" s="2" t="s">
        <v>28</v>
      </c>
      <c r="D17" s="4">
        <v>293329</v>
      </c>
      <c r="E17" s="4">
        <v>243664</v>
      </c>
      <c r="F17" s="4">
        <v>225502</v>
      </c>
      <c r="G17" s="4">
        <v>249474</v>
      </c>
      <c r="H17" s="4">
        <v>265660</v>
      </c>
      <c r="I17" s="4">
        <v>271384</v>
      </c>
      <c r="J17" s="4">
        <v>278824</v>
      </c>
      <c r="K17" s="4">
        <v>309277</v>
      </c>
      <c r="L17" s="4">
        <v>243007</v>
      </c>
      <c r="M17" s="4">
        <v>245181</v>
      </c>
      <c r="N17" s="4">
        <v>240833</v>
      </c>
      <c r="O17" s="4">
        <v>220549</v>
      </c>
      <c r="P17" s="4">
        <f t="shared" si="17"/>
        <v>3086684</v>
      </c>
    </row>
    <row r="18" spans="1:16" ht="24.95" customHeight="1">
      <c r="A18" s="286"/>
      <c r="B18" s="291"/>
      <c r="C18" s="2" t="s">
        <v>21</v>
      </c>
      <c r="D18" s="3"/>
      <c r="E18" s="5"/>
      <c r="F18" s="5"/>
      <c r="G18" s="5">
        <v>250</v>
      </c>
      <c r="H18" s="3"/>
      <c r="I18" s="3"/>
      <c r="J18" s="3"/>
      <c r="K18" s="3"/>
      <c r="L18" s="3"/>
      <c r="M18" s="3"/>
      <c r="N18" s="4">
        <v>5618</v>
      </c>
      <c r="O18" s="5">
        <v>372</v>
      </c>
      <c r="P18" s="4">
        <f t="shared" si="17"/>
        <v>6240</v>
      </c>
    </row>
    <row r="19" spans="1:16" ht="24.95" customHeight="1">
      <c r="A19" s="292" t="s">
        <v>26</v>
      </c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293"/>
    </row>
    <row r="20" spans="1:16" ht="24.95" customHeight="1">
      <c r="A20" s="284" t="s">
        <v>23</v>
      </c>
      <c r="B20" s="289" t="s">
        <v>15</v>
      </c>
      <c r="C20" s="10" t="s">
        <v>12</v>
      </c>
      <c r="D20" s="9">
        <f t="shared" ref="D20:I20" si="18">SUM(D21:D23)</f>
        <v>60924</v>
      </c>
      <c r="E20" s="12">
        <f t="shared" si="18"/>
        <v>35726.25</v>
      </c>
      <c r="F20" s="9">
        <f t="shared" si="18"/>
        <v>62456</v>
      </c>
      <c r="G20" s="9">
        <f t="shared" si="18"/>
        <v>64880.25</v>
      </c>
      <c r="H20" s="9">
        <f t="shared" si="18"/>
        <v>62781</v>
      </c>
      <c r="I20" s="9">
        <f t="shared" si="18"/>
        <v>61601</v>
      </c>
      <c r="J20" s="9">
        <f t="shared" ref="J20:K20" si="19">SUM(J21:J23)</f>
        <v>66106</v>
      </c>
      <c r="K20" s="9">
        <f t="shared" si="19"/>
        <v>57706</v>
      </c>
      <c r="L20" s="9">
        <f t="shared" ref="L20:M20" si="20">SUM(L21:L23)</f>
        <v>56065</v>
      </c>
      <c r="M20" s="9">
        <f t="shared" si="20"/>
        <v>66507.25</v>
      </c>
      <c r="N20" s="9">
        <f t="shared" ref="N20:O20" si="21">SUM(N21:N23)</f>
        <v>64235</v>
      </c>
      <c r="O20" s="9">
        <f t="shared" si="21"/>
        <v>66059</v>
      </c>
      <c r="P20" s="9">
        <f>SUM(D20:O20)</f>
        <v>725046.75</v>
      </c>
    </row>
    <row r="21" spans="1:16" ht="24.95" customHeight="1">
      <c r="A21" s="285"/>
      <c r="B21" s="290"/>
      <c r="C21" s="2" t="s">
        <v>19</v>
      </c>
      <c r="D21" s="7">
        <v>30921</v>
      </c>
      <c r="E21" s="8">
        <v>16955</v>
      </c>
      <c r="F21" s="7">
        <v>31736</v>
      </c>
      <c r="G21" s="7">
        <v>32846</v>
      </c>
      <c r="H21" s="7">
        <v>31124</v>
      </c>
      <c r="I21" s="7">
        <v>31491</v>
      </c>
      <c r="J21" s="7">
        <v>33211</v>
      </c>
      <c r="K21" s="7">
        <v>28158</v>
      </c>
      <c r="L21" s="7">
        <v>28672</v>
      </c>
      <c r="M21" s="7">
        <v>31619</v>
      </c>
      <c r="N21" s="7">
        <v>30034</v>
      </c>
      <c r="O21" s="7">
        <v>32898</v>
      </c>
      <c r="P21" s="7">
        <f>SUM(D21:O21)</f>
        <v>359665</v>
      </c>
    </row>
    <row r="22" spans="1:16" ht="24.95" customHeight="1">
      <c r="A22" s="285"/>
      <c r="B22" s="290"/>
      <c r="C22" s="2" t="s">
        <v>20</v>
      </c>
      <c r="D22" s="7">
        <v>29358</v>
      </c>
      <c r="E22" s="8">
        <v>17943</v>
      </c>
      <c r="F22" s="7">
        <v>29600</v>
      </c>
      <c r="G22" s="7">
        <v>30702</v>
      </c>
      <c r="H22" s="7">
        <v>30514</v>
      </c>
      <c r="I22" s="7">
        <v>29323</v>
      </c>
      <c r="J22" s="7">
        <v>32149</v>
      </c>
      <c r="K22" s="7">
        <v>28676</v>
      </c>
      <c r="L22" s="7">
        <v>26648</v>
      </c>
      <c r="M22" s="7">
        <v>33241</v>
      </c>
      <c r="N22" s="7">
        <v>32772</v>
      </c>
      <c r="O22" s="7">
        <v>32122</v>
      </c>
      <c r="P22" s="7">
        <f t="shared" ref="P22:P23" si="22">SUM(D22:O22)</f>
        <v>353048</v>
      </c>
    </row>
    <row r="23" spans="1:16" ht="24.95" customHeight="1">
      <c r="A23" s="286"/>
      <c r="B23" s="291"/>
      <c r="C23" s="2" t="s">
        <v>21</v>
      </c>
      <c r="D23" s="7">
        <v>645</v>
      </c>
      <c r="E23" s="8">
        <v>828.25</v>
      </c>
      <c r="F23" s="7">
        <v>1120</v>
      </c>
      <c r="G23" s="7">
        <v>1332.25</v>
      </c>
      <c r="H23" s="7">
        <v>1143</v>
      </c>
      <c r="I23" s="7">
        <v>787</v>
      </c>
      <c r="J23" s="7">
        <v>746</v>
      </c>
      <c r="K23" s="7">
        <v>872</v>
      </c>
      <c r="L23" s="7">
        <v>745</v>
      </c>
      <c r="M23" s="7">
        <v>1647.25</v>
      </c>
      <c r="N23" s="7">
        <v>1429</v>
      </c>
      <c r="O23" s="7">
        <v>1039</v>
      </c>
      <c r="P23" s="7">
        <f t="shared" si="22"/>
        <v>12333.75</v>
      </c>
    </row>
    <row r="24" spans="1:16" ht="24.95" customHeight="1">
      <c r="A24" s="281" t="s">
        <v>29</v>
      </c>
      <c r="B24" s="282"/>
      <c r="C24" s="283"/>
      <c r="D24" s="9">
        <v>123195</v>
      </c>
      <c r="E24" s="9">
        <v>89794</v>
      </c>
      <c r="F24" s="9">
        <v>127463</v>
      </c>
      <c r="G24" s="9">
        <v>131000</v>
      </c>
      <c r="H24" s="9">
        <v>134531</v>
      </c>
      <c r="I24" s="9">
        <v>138387</v>
      </c>
      <c r="J24" s="9">
        <v>147199</v>
      </c>
      <c r="K24" s="9">
        <v>133053</v>
      </c>
      <c r="L24" s="9">
        <v>115705</v>
      </c>
      <c r="M24" s="9">
        <v>134194</v>
      </c>
      <c r="N24" s="9">
        <v>126066</v>
      </c>
      <c r="O24" s="9">
        <v>122544</v>
      </c>
      <c r="P24" s="12">
        <f>SUM(D24:O24)</f>
        <v>1523131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5">
    <mergeCell ref="A24:C24"/>
    <mergeCell ref="A10:A18"/>
    <mergeCell ref="B10:C10"/>
    <mergeCell ref="B11:B14"/>
    <mergeCell ref="B15:B18"/>
    <mergeCell ref="A19:P19"/>
    <mergeCell ref="A20:A23"/>
    <mergeCell ref="B20:B23"/>
    <mergeCell ref="A2:P3"/>
    <mergeCell ref="A5:C6"/>
    <mergeCell ref="D5:P5"/>
    <mergeCell ref="A7:A9"/>
    <mergeCell ref="B7:C7"/>
    <mergeCell ref="B8:C8"/>
    <mergeCell ref="B9:C9"/>
  </mergeCells>
  <phoneticPr fontId="1" type="noConversion"/>
  <pageMargins left="3.937007874015748E-2" right="3.937007874015748E-2" top="3.937007874015748E-2" bottom="3.937007874015748E-2" header="3.937007874015748E-2" footer="3.937007874015748E-2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sqref="A1:P48"/>
    </sheetView>
  </sheetViews>
  <sheetFormatPr defaultRowHeight="16.5"/>
  <cols>
    <col min="1" max="1" width="3.875" bestFit="1" customWidth="1"/>
    <col min="2" max="2" width="20.5" bestFit="1" customWidth="1"/>
    <col min="3" max="3" width="15" bestFit="1" customWidth="1"/>
    <col min="4" max="7" width="10.75" bestFit="1" customWidth="1"/>
    <col min="8" max="12" width="5.125" bestFit="1" customWidth="1"/>
    <col min="13" max="15" width="6.125" bestFit="1" customWidth="1"/>
    <col min="16" max="16" width="12" bestFit="1" customWidth="1"/>
  </cols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2024-04-09T06:02:52Z</cp:lastPrinted>
  <dcterms:created xsi:type="dcterms:W3CDTF">2020-03-27T05:52:31Z</dcterms:created>
  <dcterms:modified xsi:type="dcterms:W3CDTF">2026-09-30T11:47:38Z</dcterms:modified>
</cp:coreProperties>
</file>